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435" activeTab="3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)" sheetId="6" r:id="rId6"/>
    <sheet name="Formato 6 b)" sheetId="7" r:id="rId7"/>
    <sheet name="Formato 6 c)" sheetId="8" r:id="rId8"/>
    <sheet name="Formato 6 d)" sheetId="9" r:id="rId9"/>
  </sheets>
  <externalReferences>
    <externalReference r:id="rId12"/>
    <externalReference r:id="rId13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'Formato 6 b)'!$B$59</definedName>
    <definedName name="cvbcbvbcvbvc">'Formato 6 b)'!$C$40</definedName>
    <definedName name="cvbcvb">'Formato 6 b)'!$F$39</definedName>
    <definedName name="cvbcvbcbv">'Formato 6 b)'!$D$59</definedName>
    <definedName name="cvbvcbcbvbc">'Formato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'[2]Info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'[2]Info General'!$C$7</definedName>
    <definedName name="fdsfdsfdsfdsfdsfdsfdsfdsfdsfdsfdsfds">'Formato 3'!$J$8</definedName>
    <definedName name="fgsgfdfdfzxvzcvczv">'Formato 2'!$C$52</definedName>
    <definedName name="GASTO_E_FIN_01">'Formato 6 b)'!$B$59</definedName>
    <definedName name="GASTO_E_FIN_02">'Formato 6 b)'!$C$59</definedName>
    <definedName name="GASTO_E_FIN_03">'Formato 6 b)'!$D$59</definedName>
    <definedName name="GASTO_E_FIN_04">'Formato 6 b)'!$E$59</definedName>
    <definedName name="GASTO_E_FIN_05">'Formato 6 b)'!$F$59</definedName>
    <definedName name="GASTO_E_FIN_06">'Formato 6 b)'!$G$59</definedName>
    <definedName name="GASTO_E_T1">'Formato 6 b)'!$B$40</definedName>
    <definedName name="GASTO_E_T2">'Formato 6 b)'!$C$40</definedName>
    <definedName name="GASTO_E_T3">'Formato 6 b)'!$D$40</definedName>
    <definedName name="GASTO_E_T4">'Formato 6 b)'!$E$40</definedName>
    <definedName name="GASTO_E_T5">'Formato 6 b)'!$F$40</definedName>
    <definedName name="GASTO_E_T6">'Formato 6 b)'!$G$40</definedName>
    <definedName name="GASTO_NE_FIN_01">'Formato 6 b)'!$B$39</definedName>
    <definedName name="GASTO_NE_FIN_02">'Formato 6 b)'!$C$39</definedName>
    <definedName name="GASTO_NE_FIN_03">'Formato 6 b)'!$D$39</definedName>
    <definedName name="GASTO_NE_FIN_04">'Formato 6 b)'!$E$39</definedName>
    <definedName name="GASTO_NE_FIN_05">'Formato 6 b)'!$F$39</definedName>
    <definedName name="GASTO_NE_FIN_06">'Formato 6 b)'!$G$39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'Formato 2'!$E$52</definedName>
    <definedName name="MONTO1">'[2]Info General'!$D$18</definedName>
    <definedName name="MONTO2">'[2]Info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'[2]Info General'!$C$7</definedName>
    <definedName name="SALDO_PENDIENTE">'[2]Info General'!$F$18</definedName>
    <definedName name="sdfsdfsfds">'Formato 3'!$E$14</definedName>
    <definedName name="sdfsfsdf">'Formato 3'!$G$8</definedName>
    <definedName name="_xlnm.Print_Titles" localSheetId="5">'Formato 6 a)'!$1:$8</definedName>
    <definedName name="TRIMESTRE">'[2]Info General'!$C$16</definedName>
    <definedName name="ULTIMO">'[1]Info General'!$E$20</definedName>
    <definedName name="ULTIMO_SALDO">'[2]Info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'Formato 6 b)'!$D$9</definedName>
    <definedName name="vcvcbvcbcvb">'Formato 6 b)'!$B$40</definedName>
    <definedName name="zfds">'Formato 2'!$H$38</definedName>
  </definedNames>
  <calcPr fullCalcOnLoad="1"/>
</workbook>
</file>

<file path=xl/sharedStrings.xml><?xml version="1.0" encoding="utf-8"?>
<sst xmlns="http://schemas.openxmlformats.org/spreadsheetml/2006/main" count="697" uniqueCount="485">
  <si>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</si>
  <si>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</si>
  <si>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</si>
  <si>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</si>
  <si>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</si>
  <si>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</si>
  <si>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</si>
  <si>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</si>
  <si>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</si>
  <si>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</si>
  <si>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</si>
  <si>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</si>
  <si>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</si>
  <si>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</si>
  <si>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</si>
  <si>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</si>
  <si>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</si>
  <si>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</si>
  <si>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</si>
  <si>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</si>
  <si>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</si>
  <si>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</si>
  <si>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</si>
  <si>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</si>
  <si>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</si>
  <si>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</si>
  <si>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</si>
  <si>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</si>
  <si>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</si>
  <si>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</si>
  <si>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</si>
  <si>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</si>
  <si>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</si>
  <si>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</si>
  <si>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</si>
  <si>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</si>
  <si>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</si>
  <si>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</si>
  <si>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</si>
  <si>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</si>
  <si>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</si>
  <si>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</si>
  <si>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</si>
  <si>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</si>
  <si>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</si>
  <si>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</si>
  <si>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</si>
  <si>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</si>
  <si>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</si>
  <si>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</si>
  <si>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</si>
  <si>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</si>
  <si>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</si>
  <si>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</si>
  <si>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</si>
  <si>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</si>
  <si>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</si>
  <si>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</si>
  <si>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</si>
  <si>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</si>
  <si>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</si>
  <si>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</si>
  <si>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</si>
  <si>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</si>
  <si>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</si>
  <si>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</si>
  <si>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</si>
  <si>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</si>
  <si>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</si>
  <si>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</si>
  <si>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</si>
  <si>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</si>
  <si>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</si>
  <si>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</si>
  <si>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</si>
  <si>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</si>
  <si>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</si>
  <si>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</si>
  <si>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</si>
  <si>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</si>
  <si>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</si>
  <si>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</si>
  <si>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</si>
  <si>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</si>
  <si>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</si>
  <si>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</si>
  <si>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</si>
  <si>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</si>
  <si>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</si>
  <si>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</si>
  <si>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</si>
  <si>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</si>
  <si>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</si>
  <si>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</si>
  <si>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</si>
  <si>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</si>
  <si>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</si>
  <si>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</si>
  <si>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</si>
  <si>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</si>
  <si>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</si>
  <si>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</si>
  <si>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</si>
  <si>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</si>
  <si>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</si>
  <si>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</si>
  <si>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</si>
  <si>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</si>
  <si>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</si>
  <si>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</si>
  <si>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</si>
  <si>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</si>
  <si>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</si>
  <si>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</si>
  <si>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</si>
  <si>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</si>
  <si>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</si>
  <si>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</si>
  <si>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</si>
  <si>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</si>
  <si>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</si>
  <si>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</si>
  <si>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</si>
  <si>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</si>
  <si>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</si>
  <si>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</si>
  <si>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</si>
  <si>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</si>
  <si>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</si>
  <si>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</si>
  <si>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</si>
  <si>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</si>
  <si>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</si>
  <si>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</si>
  <si>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</si>
  <si>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</si>
  <si>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</si>
  <si>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</si>
  <si>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</si>
  <si>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</si>
  <si>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</si>
  <si>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</si>
  <si>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</si>
  <si>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</si>
  <si>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</si>
  <si>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</si>
  <si>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</si>
  <si>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</si>
  <si>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</si>
  <si>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</si>
  <si>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</si>
  <si>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</si>
  <si>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</si>
  <si>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</si>
  <si>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</si>
  <si>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</si>
  <si>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</si>
  <si>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</si>
  <si>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</si>
  <si>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</si>
  <si>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</si>
  <si>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</si>
  <si>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</si>
  <si>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</si>
  <si>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</si>
  <si>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</si>
  <si>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</si>
  <si>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</si>
  <si>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</si>
  <si>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</si>
  <si>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</si>
  <si>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</si>
  <si>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</si>
  <si>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</si>
  <si>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</si>
  <si>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</si>
  <si>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</si>
  <si>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</si>
  <si>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</si>
  <si>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</si>
  <si>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</si>
  <si>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</si>
  <si>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</si>
  <si>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</si>
  <si>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</si>
  <si>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</si>
  <si>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</si>
  <si>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</si>
  <si>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</si>
  <si>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</si>
  <si>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</si>
  <si>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</si>
  <si>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</si>
  <si>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</si>
  <si>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</si>
  <si>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</si>
  <si>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</si>
  <si>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</si>
  <si>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</si>
  <si>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</si>
  <si>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</si>
  <si>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</si>
  <si>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</si>
  <si>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</si>
  <si>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</si>
  <si>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</si>
  <si>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</si>
  <si>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</si>
  <si>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</si>
  <si>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</si>
  <si>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</si>
  <si>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</si>
  <si>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</si>
  <si>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</si>
  <si>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</si>
  <si>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</si>
  <si>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</si>
  <si>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</si>
  <si>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</si>
  <si>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</si>
  <si>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</si>
  <si>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</si>
  <si>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</si>
  <si>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</si>
  <si>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</si>
  <si>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</si>
  <si>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</si>
  <si>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</si>
  <si>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</si>
  <si>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</si>
  <si>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</si>
  <si>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</si>
  <si>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</si>
  <si>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</si>
  <si>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</si>
  <si>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</si>
  <si>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</si>
  <si>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</si>
  <si>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</si>
  <si>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</si>
  <si>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</si>
  <si>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</si>
  <si>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</si>
  <si>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</si>
  <si>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</si>
  <si>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</si>
  <si>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</si>
  <si>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</si>
  <si>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</si>
  <si>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</si>
  <si>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</si>
  <si>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</si>
  <si>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</si>
  <si>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</si>
  <si>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</si>
  <si>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</si>
  <si>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</si>
  <si>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</si>
  <si>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</si>
  <si>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</si>
  <si>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</si>
  <si>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</si>
  <si>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</si>
  <si>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</si>
  <si>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</si>
  <si>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</si>
  <si>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</si>
  <si>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</si>
  <si>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</si>
  <si>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</si>
  <si>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</si>
  <si>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</si>
  <si>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</si>
  <si>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</si>
  <si>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</si>
  <si>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</si>
  <si>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</si>
  <si>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</si>
  <si>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</si>
  <si>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</si>
  <si>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</si>
  <si>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</si>
  <si>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</si>
  <si>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</si>
  <si>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</si>
  <si>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</si>
  <si>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</si>
  <si>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</si>
  <si>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</si>
  <si>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</si>
  <si>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</si>
  <si>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Ejecutivo del Estado de Campeche (a)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</si>
  <si>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</si>
  <si>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</si>
  <si>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</si>
  <si>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</si>
  <si>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</si>
  <si>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</si>
  <si>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</si>
  <si>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</si>
  <si>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</si>
  <si>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</si>
  <si>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</si>
  <si>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</si>
  <si>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</si>
  <si>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</si>
  <si>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</si>
  <si>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</si>
  <si>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</si>
  <si>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</si>
  <si>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</si>
  <si>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</si>
  <si>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</si>
  <si>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</si>
  <si>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</si>
  <si>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</si>
  <si>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</si>
  <si>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</si>
  <si>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</si>
  <si>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</si>
  <si>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</si>
  <si>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</si>
  <si>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</si>
  <si>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</si>
  <si>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</si>
  <si>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</si>
  <si>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</si>
  <si>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</si>
  <si>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</si>
  <si>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</si>
  <si>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</si>
  <si>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</si>
  <si>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</si>
  <si>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</si>
  <si>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</si>
  <si>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</si>
  <si>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</si>
  <si>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</si>
  <si>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</si>
  <si>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</si>
  <si>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</si>
  <si>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</si>
  <si>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</si>
  <si>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</si>
  <si>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</si>
  <si>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</si>
  <si>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</si>
  <si>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</si>
  <si>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</si>
  <si>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</si>
  <si>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</si>
  <si>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</si>
  <si>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</si>
  <si>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</si>
  <si>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</si>
  <si>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</si>
  <si>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</si>
  <si>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</si>
  <si>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</si>
  <si>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</si>
  <si>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</si>
  <si>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</si>
  <si>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</si>
  <si>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</si>
  <si>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</si>
  <si>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</si>
  <si>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</si>
  <si>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</si>
  <si>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</si>
  <si>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</si>
  <si>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</si>
  <si>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</si>
  <si>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</si>
  <si>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</si>
  <si>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</si>
  <si>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</si>
  <si>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</si>
  <si>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</si>
  <si>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</si>
  <si>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</si>
  <si>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</si>
  <si>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</si>
  <si>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</si>
  <si>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</si>
  <si>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</si>
  <si>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</si>
  <si>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</si>
  <si>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</si>
  <si>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</si>
  <si>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</si>
  <si>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</si>
  <si>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</si>
  <si>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</si>
  <si>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</si>
  <si>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</si>
  <si>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</si>
  <si>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</si>
  <si>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</si>
  <si>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</si>
  <si>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</si>
  <si>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</si>
  <si>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</si>
  <si>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</si>
  <si>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</si>
  <si>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</si>
  <si>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</si>
  <si>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</si>
  <si>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</si>
  <si>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</si>
  <si>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</si>
  <si>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</si>
  <si>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</si>
  <si>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</si>
  <si>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</si>
  <si>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</si>
  <si>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</si>
  <si>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</si>
  <si>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</si>
  <si>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</si>
  <si>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</si>
  <si>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</si>
  <si>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</si>
  <si>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</si>
  <si>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</si>
  <si>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</si>
  <si>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</si>
  <si>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</si>
  <si>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</si>
  <si>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</si>
  <si>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</si>
  <si>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</si>
  <si>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</si>
  <si>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</si>
  <si>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</si>
  <si>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</si>
  <si>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</si>
  <si>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</si>
  <si>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</si>
  <si>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Oficina del Gobernador</t>
  </si>
  <si>
    <t>Secretaría General de Gobierno</t>
  </si>
  <si>
    <t>Secretaría de Finanzas</t>
  </si>
  <si>
    <t>Secretaría de Administración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</si>
  <si>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</si>
  <si>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</si>
  <si>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</si>
  <si>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</si>
  <si>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</si>
  <si>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</si>
  <si>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</si>
  <si>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Económico</t>
  </si>
  <si>
    <t>Secretaría de Desarrollo Rural</t>
  </si>
  <si>
    <t>Secretaría de Pesca y Acuacultura</t>
  </si>
  <si>
    <t>Secretaría de Desarrollo Urbano, Obras Públicas e Infraestructura</t>
  </si>
  <si>
    <t>Secretaría de Turismo</t>
  </si>
  <si>
    <t>Secretaría de Trabajo y Previsión Social</t>
  </si>
  <si>
    <t>Secretaría de Seguridad Pública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</si>
  <si>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</si>
  <si>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</si>
  <si>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</si>
  <si>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</si>
  <si>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</si>
  <si>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</si>
  <si>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</si>
  <si>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</si>
  <si>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</si>
  <si>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</si>
  <si>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</si>
  <si>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</si>
  <si>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</si>
  <si>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</si>
  <si>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</si>
  <si>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</si>
  <si>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BANAMEX, S.A.</t>
  </si>
  <si>
    <t>SANTANDER, S.A.</t>
  </si>
  <si>
    <t>BBVA BANCOMER, S.A.</t>
  </si>
  <si>
    <t>2020 (d)</t>
  </si>
  <si>
    <t>31 de diciembre de 2019 (e)</t>
  </si>
  <si>
    <t>Saldo al 31 de diciembre de 2019 (d)</t>
  </si>
  <si>
    <t>Secretaría de Medio Ambiente, Biodiversidad y Cambio Climático</t>
  </si>
  <si>
    <t>Al 30 de junio de 2020 y al 31 de diciembre 2019 (b)</t>
  </si>
  <si>
    <t>Del 1 enero al 30 de junio de 2020 (b)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</si>
  <si>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</si>
  <si>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</si>
  <si>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</si>
  <si>
    <t>Del 1 de enero al 30 de junio de 2020 (b)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</si>
</sst>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1080A]#,##0.00;\(#,##0.00\)"/>
    <numFmt numFmtId="174" formatCode="[$-1080A]#,##0.00;\-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9"/>
      <color indexed="8"/>
      <name val="Courier New"/>
      <family val="3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9"/>
      <color rgb="FF000000"/>
      <name val="Courier New"/>
      <family val="3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54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 indent="3"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33" borderId="16" xfId="0" applyFill="1" applyBorder="1" applyAlignment="1">
      <alignment vertical="center"/>
    </xf>
    <xf numFmtId="0" fontId="43" fillId="33" borderId="11" xfId="0" applyFont="1" applyFill="1" applyBorder="1" applyAlignment="1">
      <alignment horizontal="left" vertical="center" wrapText="1" indent="3"/>
    </xf>
    <xf numFmtId="171" fontId="43" fillId="0" borderId="15" xfId="47" applyFont="1" applyFill="1" applyBorder="1" applyAlignment="1" applyProtection="1">
      <alignment/>
      <protection locked="0"/>
    </xf>
    <xf numFmtId="171" fontId="46" fillId="33" borderId="16" xfId="47" applyFont="1" applyFill="1" applyBorder="1" applyAlignment="1">
      <alignment/>
    </xf>
    <xf numFmtId="171" fontId="47" fillId="33" borderId="16" xfId="47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left" vertical="center" indent="3"/>
    </xf>
    <xf numFmtId="0" fontId="0" fillId="34" borderId="15" xfId="0" applyFill="1" applyBorder="1" applyAlignment="1">
      <alignment horizontal="left" vertical="center" indent="6"/>
    </xf>
    <xf numFmtId="0" fontId="0" fillId="34" borderId="15" xfId="0" applyFill="1" applyBorder="1" applyAlignment="1">
      <alignment horizontal="left" vertical="center" indent="9"/>
    </xf>
    <xf numFmtId="0" fontId="0" fillId="34" borderId="15" xfId="0" applyFill="1" applyBorder="1" applyAlignment="1">
      <alignment horizontal="left" vertical="center" indent="3"/>
    </xf>
    <xf numFmtId="0" fontId="43" fillId="34" borderId="15" xfId="0" applyFont="1" applyFill="1" applyBorder="1" applyAlignment="1">
      <alignment horizontal="left" vertical="center" indent="3"/>
    </xf>
    <xf numFmtId="0" fontId="0" fillId="34" borderId="15" xfId="0" applyFill="1" applyBorder="1" applyAlignment="1">
      <alignment horizontal="left" indent="9"/>
    </xf>
    <xf numFmtId="0" fontId="0" fillId="34" borderId="15" xfId="0" applyFill="1" applyBorder="1" applyAlignment="1">
      <alignment horizontal="left" indent="3"/>
    </xf>
    <xf numFmtId="0" fontId="43" fillId="34" borderId="15" xfId="0" applyFont="1" applyFill="1" applyBorder="1" applyAlignment="1">
      <alignment horizontal="left" indent="3"/>
    </xf>
    <xf numFmtId="171" fontId="43" fillId="34" borderId="15" xfId="47" applyFont="1" applyFill="1" applyBorder="1" applyAlignment="1" applyProtection="1">
      <alignment vertical="center"/>
      <protection locked="0"/>
    </xf>
    <xf numFmtId="171" fontId="0" fillId="34" borderId="15" xfId="47" applyFont="1" applyFill="1" applyBorder="1" applyAlignment="1" applyProtection="1">
      <alignment vertical="center"/>
      <protection locked="0"/>
    </xf>
    <xf numFmtId="171" fontId="0" fillId="34" borderId="15" xfId="47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left" vertical="center" wrapText="1" indent="6"/>
    </xf>
    <xf numFmtId="0" fontId="0" fillId="34" borderId="1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8" xfId="0" applyFill="1" applyBorder="1" applyAlignment="1">
      <alignment horizontal="center"/>
    </xf>
    <xf numFmtId="0" fontId="0" fillId="34" borderId="15" xfId="0" applyFill="1" applyBorder="1" applyAlignment="1">
      <alignment horizontal="left" vertical="center" wrapText="1" indent="9"/>
    </xf>
    <xf numFmtId="0" fontId="0" fillId="34" borderId="15" xfId="0" applyFill="1" applyBorder="1" applyAlignment="1">
      <alignment horizontal="left" wrapText="1" indent="9"/>
    </xf>
    <xf numFmtId="0" fontId="0" fillId="34" borderId="0" xfId="0" applyFill="1" applyAlignment="1">
      <alignment/>
    </xf>
    <xf numFmtId="0" fontId="0" fillId="34" borderId="15" xfId="0" applyFill="1" applyBorder="1" applyAlignment="1" applyProtection="1">
      <alignment horizontal="left" vertical="center" indent="6"/>
      <protection locked="0"/>
    </xf>
    <xf numFmtId="0" fontId="28" fillId="34" borderId="15" xfId="0" applyFont="1" applyFill="1" applyBorder="1" applyAlignment="1">
      <alignment vertical="center"/>
    </xf>
    <xf numFmtId="171" fontId="0" fillId="34" borderId="15" xfId="47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 horizontal="left" vertical="center" wrapText="1" indent="3"/>
    </xf>
    <xf numFmtId="0" fontId="43" fillId="34" borderId="15" xfId="0" applyFont="1" applyFill="1" applyBorder="1" applyAlignment="1">
      <alignment horizontal="left" vertical="center" wrapText="1" indent="3"/>
    </xf>
    <xf numFmtId="0" fontId="0" fillId="34" borderId="17" xfId="0" applyFill="1" applyBorder="1" applyAlignment="1">
      <alignment horizontal="left" vertical="center" indent="6"/>
    </xf>
    <xf numFmtId="171" fontId="0" fillId="34" borderId="17" xfId="47" applyFont="1" applyFill="1" applyBorder="1" applyAlignment="1" applyProtection="1">
      <alignment/>
      <protection locked="0"/>
    </xf>
    <xf numFmtId="0" fontId="43" fillId="34" borderId="15" xfId="0" applyFont="1" applyFill="1" applyBorder="1" applyAlignment="1">
      <alignment horizontal="left" vertical="center" wrapText="1" indent="9"/>
    </xf>
    <xf numFmtId="171" fontId="43" fillId="34" borderId="15" xfId="47" applyFont="1" applyFill="1" applyBorder="1" applyAlignment="1" applyProtection="1">
      <alignment/>
      <protection locked="0"/>
    </xf>
    <xf numFmtId="0" fontId="0" fillId="34" borderId="15" xfId="0" applyFill="1" applyBorder="1" applyAlignment="1">
      <alignment horizontal="left" vertical="center" indent="12"/>
    </xf>
    <xf numFmtId="171" fontId="0" fillId="34" borderId="15" xfId="47" applyFont="1" applyFill="1" applyBorder="1" applyAlignment="1" applyProtection="1">
      <alignment/>
      <protection locked="0"/>
    </xf>
    <xf numFmtId="171" fontId="0" fillId="34" borderId="17" xfId="47" applyFont="1" applyFill="1" applyBorder="1" applyAlignment="1" applyProtection="1">
      <alignment vertical="center"/>
      <protection locked="0"/>
    </xf>
    <xf numFmtId="0" fontId="43" fillId="34" borderId="15" xfId="0" applyFont="1" applyFill="1" applyBorder="1" applyAlignment="1">
      <alignment vertical="center"/>
    </xf>
    <xf numFmtId="171" fontId="43" fillId="34" borderId="15" xfId="47" applyFont="1" applyFill="1" applyBorder="1" applyAlignment="1">
      <alignment vertical="center"/>
    </xf>
    <xf numFmtId="0" fontId="43" fillId="34" borderId="13" xfId="0" applyFont="1" applyFill="1" applyBorder="1" applyAlignment="1">
      <alignment horizontal="left" vertical="center" indent="3"/>
    </xf>
    <xf numFmtId="0" fontId="43" fillId="34" borderId="13" xfId="0" applyFont="1" applyFill="1" applyBorder="1" applyAlignment="1">
      <alignment horizontal="left" vertical="center" wrapText="1" indent="3"/>
    </xf>
    <xf numFmtId="171" fontId="43" fillId="34" borderId="15" xfId="47" applyFont="1" applyFill="1" applyBorder="1" applyAlignment="1">
      <alignment/>
    </xf>
    <xf numFmtId="171" fontId="0" fillId="34" borderId="15" xfId="47" applyFont="1" applyFill="1" applyBorder="1" applyAlignment="1" applyProtection="1">
      <alignment/>
      <protection locked="0"/>
    </xf>
    <xf numFmtId="0" fontId="0" fillId="34" borderId="15" xfId="0" applyFill="1" applyBorder="1" applyAlignment="1">
      <alignment/>
    </xf>
    <xf numFmtId="172" fontId="0" fillId="34" borderId="15" xfId="0" applyNumberFormat="1" applyFill="1" applyBorder="1" applyAlignment="1" applyProtection="1">
      <alignment vertical="center"/>
      <protection locked="0"/>
    </xf>
    <xf numFmtId="16" fontId="0" fillId="34" borderId="15" xfId="0" applyNumberFormat="1" applyFill="1" applyBorder="1" applyAlignment="1">
      <alignment vertical="center"/>
    </xf>
    <xf numFmtId="0" fontId="43" fillId="34" borderId="15" xfId="0" applyFont="1" applyFill="1" applyBorder="1" applyAlignment="1">
      <alignment horizontal="left" vertical="center" indent="2"/>
    </xf>
    <xf numFmtId="0" fontId="0" fillId="34" borderId="15" xfId="0" applyFill="1" applyBorder="1" applyAlignment="1" applyProtection="1">
      <alignment horizontal="left" vertical="center" indent="4"/>
      <protection locked="0"/>
    </xf>
    <xf numFmtId="0" fontId="28" fillId="34" borderId="15" xfId="0" applyFont="1" applyFill="1" applyBorder="1" applyAlignment="1">
      <alignment horizontal="left" vertical="center"/>
    </xf>
    <xf numFmtId="0" fontId="43" fillId="34" borderId="14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vertical="center" indent="5"/>
    </xf>
    <xf numFmtId="0" fontId="0" fillId="34" borderId="14" xfId="0" applyFill="1" applyBorder="1" applyAlignment="1">
      <alignment horizontal="left" vertical="center" indent="7"/>
    </xf>
    <xf numFmtId="0" fontId="0" fillId="34" borderId="14" xfId="0" applyFill="1" applyBorder="1" applyAlignment="1" applyProtection="1">
      <alignment horizontal="left" vertical="center" indent="5"/>
      <protection locked="0"/>
    </xf>
    <xf numFmtId="0" fontId="28" fillId="34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/>
      <protection locked="0"/>
    </xf>
    <xf numFmtId="0" fontId="28" fillId="34" borderId="13" xfId="0" applyFont="1" applyFill="1" applyBorder="1" applyAlignment="1">
      <alignment/>
    </xf>
    <xf numFmtId="0" fontId="43" fillId="34" borderId="19" xfId="0" applyFont="1" applyFill="1" applyBorder="1" applyAlignment="1">
      <alignment horizontal="left" vertical="center" indent="2"/>
    </xf>
    <xf numFmtId="0" fontId="0" fillId="34" borderId="19" xfId="0" applyFill="1" applyBorder="1" applyAlignment="1">
      <alignment horizontal="left" vertical="center" indent="3"/>
    </xf>
    <xf numFmtId="0" fontId="0" fillId="34" borderId="15" xfId="0" applyFont="1" applyFill="1" applyBorder="1" applyAlignment="1">
      <alignment horizontal="left" vertical="center" indent="5"/>
    </xf>
    <xf numFmtId="0" fontId="0" fillId="34" borderId="19" xfId="0" applyFill="1" applyBorder="1" applyAlignment="1">
      <alignment horizontal="left" vertical="center" indent="5"/>
    </xf>
    <xf numFmtId="0" fontId="0" fillId="34" borderId="15" xfId="0" applyFill="1" applyBorder="1" applyAlignment="1">
      <alignment horizontal="left" vertical="center" indent="5"/>
    </xf>
    <xf numFmtId="0" fontId="0" fillId="34" borderId="19" xfId="0" applyFill="1" applyBorder="1" applyAlignment="1">
      <alignment horizontal="left" indent="3"/>
    </xf>
    <xf numFmtId="0" fontId="43" fillId="34" borderId="19" xfId="0" applyFont="1" applyFill="1" applyBorder="1" applyAlignment="1">
      <alignment horizontal="left" indent="2"/>
    </xf>
    <xf numFmtId="0" fontId="0" fillId="34" borderId="19" xfId="0" applyFont="1" applyFill="1" applyBorder="1" applyAlignment="1">
      <alignment horizontal="left" vertical="center" indent="3"/>
    </xf>
    <xf numFmtId="0" fontId="0" fillId="34" borderId="19" xfId="0" applyFont="1" applyFill="1" applyBorder="1" applyAlignment="1">
      <alignment horizontal="left" indent="3"/>
    </xf>
    <xf numFmtId="0" fontId="0" fillId="34" borderId="15" xfId="0" applyFill="1" applyBorder="1" applyAlignment="1" applyProtection="1">
      <alignment horizontal="left" vertical="center" wrapText="1" indent="6"/>
      <protection locked="0"/>
    </xf>
    <xf numFmtId="4" fontId="43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34" borderId="15" xfId="0" applyNumberFormat="1" applyFill="1" applyBorder="1" applyAlignment="1">
      <alignment vertical="center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>
      <alignment vertical="center"/>
    </xf>
    <xf numFmtId="4" fontId="43" fillId="34" borderId="15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4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5" xfId="0" applyNumberFormat="1" applyFill="1" applyBorder="1" applyAlignment="1">
      <alignment/>
    </xf>
    <xf numFmtId="4" fontId="0" fillId="34" borderId="15" xfId="47" applyNumberFormat="1" applyFont="1" applyFill="1" applyBorder="1" applyAlignment="1">
      <alignment/>
    </xf>
    <xf numFmtId="4" fontId="43" fillId="0" borderId="15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4" fontId="0" fillId="33" borderId="16" xfId="47" applyNumberFormat="1" applyFont="1" applyFill="1" applyBorder="1" applyAlignment="1">
      <alignment/>
    </xf>
    <xf numFmtId="4" fontId="0" fillId="33" borderId="16" xfId="47" applyNumberFormat="1" applyFont="1" applyFill="1" applyBorder="1" applyAlignment="1">
      <alignment vertical="center"/>
    </xf>
    <xf numFmtId="4" fontId="43" fillId="34" borderId="15" xfId="47" applyNumberFormat="1" applyFont="1" applyFill="1" applyBorder="1" applyAlignment="1" applyProtection="1">
      <alignment/>
      <protection locked="0"/>
    </xf>
    <xf numFmtId="4" fontId="47" fillId="33" borderId="16" xfId="47" applyNumberFormat="1" applyFont="1" applyFill="1" applyBorder="1" applyAlignment="1">
      <alignment vertical="center"/>
    </xf>
    <xf numFmtId="4" fontId="0" fillId="0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 applyProtection="1">
      <alignment/>
      <protection locked="0"/>
    </xf>
    <xf numFmtId="4" fontId="47" fillId="33" borderId="16" xfId="47" applyNumberFormat="1" applyFont="1" applyFill="1" applyBorder="1" applyAlignment="1">
      <alignment/>
    </xf>
    <xf numFmtId="4" fontId="0" fillId="0" borderId="15" xfId="47" applyNumberFormat="1" applyFont="1" applyFill="1" applyBorder="1" applyAlignment="1" applyProtection="1">
      <alignment/>
      <protection locked="0"/>
    </xf>
    <xf numFmtId="4" fontId="43" fillId="34" borderId="17" xfId="47" applyNumberFormat="1" applyFont="1" applyFill="1" applyBorder="1" applyAlignment="1" applyProtection="1">
      <alignment vertical="center"/>
      <protection locked="0"/>
    </xf>
    <xf numFmtId="4" fontId="43" fillId="34" borderId="20" xfId="47" applyNumberFormat="1" applyFont="1" applyFill="1" applyBorder="1" applyAlignment="1" applyProtection="1">
      <alignment vertical="center"/>
      <protection locked="0"/>
    </xf>
    <xf numFmtId="4" fontId="0" fillId="34" borderId="19" xfId="47" applyNumberFormat="1" applyFont="1" applyFill="1" applyBorder="1" applyAlignment="1" applyProtection="1">
      <alignment vertical="center"/>
      <protection locked="0"/>
    </xf>
    <xf numFmtId="4" fontId="43" fillId="34" borderId="19" xfId="47" applyNumberFormat="1" applyFont="1" applyFill="1" applyBorder="1" applyAlignment="1" applyProtection="1">
      <alignment vertical="center"/>
      <protection locked="0"/>
    </xf>
    <xf numFmtId="4" fontId="0" fillId="34" borderId="19" xfId="47" applyNumberFormat="1" applyFont="1" applyFill="1" applyBorder="1" applyAlignment="1" applyProtection="1">
      <alignment vertical="center" wrapText="1"/>
      <protection locked="0"/>
    </xf>
    <xf numFmtId="4" fontId="0" fillId="34" borderId="19" xfId="47" applyNumberFormat="1" applyFont="1" applyFill="1" applyBorder="1" applyAlignment="1">
      <alignment vertical="center"/>
    </xf>
    <xf numFmtId="4" fontId="43" fillId="34" borderId="19" xfId="47" applyNumberFormat="1" applyFont="1" applyFill="1" applyBorder="1" applyAlignment="1" applyProtection="1">
      <alignment horizontal="right" vertical="center"/>
      <protection locked="0"/>
    </xf>
    <xf numFmtId="4" fontId="0" fillId="34" borderId="19" xfId="47" applyNumberFormat="1" applyFont="1" applyFill="1" applyBorder="1" applyAlignment="1" applyProtection="1">
      <alignment horizontal="right" vertical="center"/>
      <protection locked="0"/>
    </xf>
    <xf numFmtId="4" fontId="0" fillId="34" borderId="19" xfId="47" applyNumberFormat="1" applyFont="1" applyFill="1" applyBorder="1" applyAlignment="1">
      <alignment horizontal="right" vertical="center"/>
    </xf>
    <xf numFmtId="0" fontId="43" fillId="34" borderId="19" xfId="0" applyFont="1" applyFill="1" applyBorder="1" applyAlignment="1">
      <alignment horizontal="left" vertical="center" indent="3"/>
    </xf>
    <xf numFmtId="0" fontId="43" fillId="34" borderId="15" xfId="0" applyFont="1" applyFill="1" applyBorder="1" applyAlignment="1">
      <alignment horizontal="left" vertical="center" indent="6"/>
    </xf>
    <xf numFmtId="0" fontId="43" fillId="34" borderId="15" xfId="0" applyFont="1" applyFill="1" applyBorder="1" applyAlignment="1">
      <alignment horizontal="left" indent="6"/>
    </xf>
    <xf numFmtId="0" fontId="0" fillId="34" borderId="14" xfId="0" applyFill="1" applyBorder="1" applyAlignment="1">
      <alignment horizontal="center" vertical="center"/>
    </xf>
    <xf numFmtId="173" fontId="48" fillId="0" borderId="21" xfId="0" applyNumberFormat="1" applyFont="1" applyFill="1" applyBorder="1" applyAlignment="1">
      <alignment horizontal="right" vertical="center" wrapText="1" readingOrder="1"/>
    </xf>
    <xf numFmtId="173" fontId="48" fillId="0" borderId="22" xfId="0" applyNumberFormat="1" applyFont="1" applyFill="1" applyBorder="1" applyAlignment="1">
      <alignment horizontal="right" vertical="center" wrapText="1" readingOrder="1"/>
    </xf>
    <xf numFmtId="173" fontId="48" fillId="0" borderId="13" xfId="0" applyNumberFormat="1" applyFont="1" applyFill="1" applyBorder="1" applyAlignment="1">
      <alignment horizontal="right" vertical="center" wrapText="1" readingOrder="1"/>
    </xf>
    <xf numFmtId="173" fontId="48" fillId="0" borderId="23" xfId="0" applyNumberFormat="1" applyFont="1" applyFill="1" applyBorder="1" applyAlignment="1">
      <alignment horizontal="right" vertical="center" wrapText="1" readingOrder="1"/>
    </xf>
    <xf numFmtId="173" fontId="48" fillId="0" borderId="24" xfId="0" applyNumberFormat="1" applyFont="1" applyFill="1" applyBorder="1" applyAlignment="1">
      <alignment horizontal="right" vertical="center" wrapText="1" readingOrder="1"/>
    </xf>
    <xf numFmtId="4" fontId="0" fillId="34" borderId="15" xfId="47" applyNumberFormat="1" applyFont="1" applyFill="1" applyBorder="1" applyAlignment="1" applyProtection="1">
      <alignment vertical="center"/>
      <protection/>
    </xf>
    <xf numFmtId="0" fontId="44" fillId="34" borderId="25" xfId="0" applyFont="1" applyFill="1" applyBorder="1" applyAlignment="1">
      <alignment horizontal="left" vertical="center"/>
    </xf>
    <xf numFmtId="0" fontId="43" fillId="33" borderId="26" xfId="0" applyFont="1" applyFill="1" applyBorder="1" applyAlignment="1" applyProtection="1">
      <alignment horizontal="center" vertical="center"/>
      <protection/>
    </xf>
    <xf numFmtId="0" fontId="43" fillId="33" borderId="27" xfId="0" applyFont="1" applyFill="1" applyBorder="1" applyAlignment="1" applyProtection="1">
      <alignment horizontal="center" vertical="center"/>
      <protection/>
    </xf>
    <xf numFmtId="0" fontId="43" fillId="33" borderId="20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28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49" fillId="34" borderId="25" xfId="0" applyFont="1" applyFill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33" borderId="17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/>
    </xf>
    <xf numFmtId="0" fontId="4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abilidad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as\Desktop\Estados%20Financieros\2019%20Reforma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zoomScalePageLayoutView="0" workbookViewId="0" topLeftCell="A66">
      <selection activeCell="E82" sqref="E82"/>
    </sheetView>
  </sheetViews>
  <sheetFormatPr defaultColWidth="0" defaultRowHeight="15" zeroHeight="1"/>
  <cols>
    <col min="1" max="1" width="90.8515625" style="0" customWidth="1"/>
    <col min="2" max="3" width="20.00390625" style="89" customWidth="1"/>
    <col min="4" max="4" width="94.421875" style="0" customWidth="1"/>
    <col min="5" max="6" width="20.00390625" style="89" customWidth="1"/>
    <col min="7" max="16384" width="11.421875" style="0" hidden="1" customWidth="1"/>
  </cols>
  <sheetData>
    <row r="1" spans="1:6" ht="21">
      <c r="A1" s="125" t="s">
        <v>0</v>
      </c>
      <c r="B1" s="125"/>
      <c r="C1" s="125"/>
      <c r="D1" s="125"/>
      <c r="E1" s="125"/>
      <c r="F1" s="125"/>
    </row>
    <row r="2" spans="1:6" ht="15">
      <c r="A2" s="126" t="s">
        <v>291</v>
      </c>
      <c r="B2" s="127"/>
      <c r="C2" s="127"/>
      <c r="D2" s="127"/>
      <c r="E2" s="127"/>
      <c r="F2" s="128"/>
    </row>
    <row r="3" spans="1:6" ht="15">
      <c r="A3" s="129" t="s">
        <v>1</v>
      </c>
      <c r="B3" s="130"/>
      <c r="C3" s="130"/>
      <c r="D3" s="130"/>
      <c r="E3" s="130"/>
      <c r="F3" s="131"/>
    </row>
    <row r="4" spans="1:6" ht="15">
      <c r="A4" s="132" t="s">
        <v>479</v>
      </c>
      <c r="B4" s="133"/>
      <c r="C4" s="133"/>
      <c r="D4" s="133"/>
      <c r="E4" s="133"/>
      <c r="F4" s="134"/>
    </row>
    <row r="5" spans="1:6" ht="15">
      <c r="A5" s="135" t="s">
        <v>2</v>
      </c>
      <c r="B5" s="136"/>
      <c r="C5" s="136"/>
      <c r="D5" s="136"/>
      <c r="E5" s="136"/>
      <c r="F5" s="137"/>
    </row>
    <row r="6" spans="1:6" ht="30">
      <c r="A6" s="1" t="s">
        <v>3</v>
      </c>
      <c r="B6" s="83" t="s">
        <v>475</v>
      </c>
      <c r="C6" s="90" t="s">
        <v>476</v>
      </c>
      <c r="D6" s="3" t="s">
        <v>4</v>
      </c>
      <c r="E6" s="83" t="s">
        <v>475</v>
      </c>
      <c r="F6" s="90" t="s">
        <v>476</v>
      </c>
    </row>
    <row r="7" spans="1:6" ht="15">
      <c r="A7" s="62" t="s">
        <v>5</v>
      </c>
      <c r="B7" s="84"/>
      <c r="C7" s="84"/>
      <c r="D7" s="73" t="s">
        <v>6</v>
      </c>
      <c r="E7" s="84"/>
      <c r="F7" s="84"/>
    </row>
    <row r="8" spans="1:6" ht="15">
      <c r="A8" s="62" t="s">
        <v>7</v>
      </c>
      <c r="B8" s="84"/>
      <c r="C8" s="84"/>
      <c r="D8" s="73" t="s">
        <v>8</v>
      </c>
      <c r="E8" s="84"/>
      <c r="F8" s="84"/>
    </row>
    <row r="9" spans="1:6" ht="15">
      <c r="A9" s="23" t="s">
        <v>9</v>
      </c>
      <c r="B9" s="87">
        <f>SUM(B10:B16)</f>
        <v>2664299547.22</v>
      </c>
      <c r="C9" s="87">
        <f>SUM(C10:C16)</f>
        <v>1779968186.48</v>
      </c>
      <c r="D9" s="115" t="s">
        <v>10</v>
      </c>
      <c r="E9" s="87">
        <f>SUM(E10:E18)</f>
        <v>253537842.6</v>
      </c>
      <c r="F9" s="87">
        <f>SUM(F10:F18)</f>
        <v>202328569.35999998</v>
      </c>
    </row>
    <row r="10" spans="1:6" ht="15">
      <c r="A10" s="75" t="s">
        <v>11</v>
      </c>
      <c r="B10" s="85">
        <v>385000</v>
      </c>
      <c r="C10" s="85">
        <v>783800</v>
      </c>
      <c r="D10" s="76" t="s">
        <v>12</v>
      </c>
      <c r="E10" s="85">
        <v>0</v>
      </c>
      <c r="F10" s="85">
        <v>0</v>
      </c>
    </row>
    <row r="11" spans="1:6" ht="15">
      <c r="A11" s="75" t="s">
        <v>13</v>
      </c>
      <c r="B11" s="85">
        <v>55076544.72</v>
      </c>
      <c r="C11" s="85">
        <v>42381382.97</v>
      </c>
      <c r="D11" s="76" t="s">
        <v>14</v>
      </c>
      <c r="E11" s="85">
        <v>11262185.64</v>
      </c>
      <c r="F11" s="85">
        <v>13871663.26</v>
      </c>
    </row>
    <row r="12" spans="1:6" ht="15">
      <c r="A12" s="75" t="s">
        <v>15</v>
      </c>
      <c r="B12" s="85">
        <v>0</v>
      </c>
      <c r="C12" s="85">
        <v>0</v>
      </c>
      <c r="D12" s="76" t="s">
        <v>16</v>
      </c>
      <c r="E12" s="85">
        <v>0</v>
      </c>
      <c r="F12" s="85">
        <v>34018319.66</v>
      </c>
    </row>
    <row r="13" spans="1:6" ht="15">
      <c r="A13" s="75" t="s">
        <v>17</v>
      </c>
      <c r="B13" s="85">
        <v>2457893720.89</v>
      </c>
      <c r="C13" s="85">
        <v>1617688960.86</v>
      </c>
      <c r="D13" s="76" t="s">
        <v>18</v>
      </c>
      <c r="E13" s="85">
        <v>25065003</v>
      </c>
      <c r="F13" s="85">
        <v>20071533</v>
      </c>
    </row>
    <row r="14" spans="1:6" ht="15">
      <c r="A14" s="75" t="s">
        <v>19</v>
      </c>
      <c r="B14" s="85">
        <v>0</v>
      </c>
      <c r="C14" s="85">
        <v>0</v>
      </c>
      <c r="D14" s="76" t="s">
        <v>20</v>
      </c>
      <c r="E14" s="85">
        <v>69609107.14</v>
      </c>
      <c r="F14" s="85">
        <v>24917900.5</v>
      </c>
    </row>
    <row r="15" spans="1:6" ht="15">
      <c r="A15" s="75" t="s">
        <v>21</v>
      </c>
      <c r="B15" s="85">
        <v>150944281.61</v>
      </c>
      <c r="C15" s="85">
        <v>119114042.65</v>
      </c>
      <c r="D15" s="76" t="s">
        <v>22</v>
      </c>
      <c r="E15" s="85">
        <v>0</v>
      </c>
      <c r="F15" s="85">
        <v>0</v>
      </c>
    </row>
    <row r="16" spans="1:6" ht="15">
      <c r="A16" s="75" t="s">
        <v>23</v>
      </c>
      <c r="B16" s="85">
        <v>0</v>
      </c>
      <c r="C16" s="85">
        <v>0</v>
      </c>
      <c r="D16" s="76" t="s">
        <v>24</v>
      </c>
      <c r="E16" s="85">
        <v>109613275.04</v>
      </c>
      <c r="F16" s="85">
        <v>73600280.19</v>
      </c>
    </row>
    <row r="17" spans="1:6" ht="15">
      <c r="A17" s="23" t="s">
        <v>25</v>
      </c>
      <c r="B17" s="87">
        <f>SUM(B18:B24)</f>
        <v>71509950.59</v>
      </c>
      <c r="C17" s="87">
        <f>SUM(C18:C24)</f>
        <v>48195576.67</v>
      </c>
      <c r="D17" s="76" t="s">
        <v>26</v>
      </c>
      <c r="E17" s="85">
        <v>0</v>
      </c>
      <c r="F17" s="85">
        <v>0</v>
      </c>
    </row>
    <row r="18" spans="1:6" ht="15">
      <c r="A18" s="77" t="s">
        <v>27</v>
      </c>
      <c r="B18" s="85">
        <v>0</v>
      </c>
      <c r="C18" s="85">
        <v>0</v>
      </c>
      <c r="D18" s="76" t="s">
        <v>28</v>
      </c>
      <c r="E18" s="85">
        <v>37988271.78</v>
      </c>
      <c r="F18" s="85">
        <v>35848872.75</v>
      </c>
    </row>
    <row r="19" spans="1:6" ht="15">
      <c r="A19" s="77" t="s">
        <v>29</v>
      </c>
      <c r="B19" s="85">
        <v>0</v>
      </c>
      <c r="C19" s="85">
        <v>0</v>
      </c>
      <c r="D19" s="115" t="s">
        <v>30</v>
      </c>
      <c r="E19" s="87">
        <f>SUM(E20:E22)</f>
        <v>0</v>
      </c>
      <c r="F19" s="87">
        <f>SUM(F20:F22)</f>
        <v>0</v>
      </c>
    </row>
    <row r="20" spans="1:6" ht="15">
      <c r="A20" s="77" t="s">
        <v>31</v>
      </c>
      <c r="B20" s="85">
        <v>26422784.67</v>
      </c>
      <c r="C20" s="85">
        <v>3152626.27</v>
      </c>
      <c r="D20" s="76" t="s">
        <v>32</v>
      </c>
      <c r="E20" s="85">
        <v>0</v>
      </c>
      <c r="F20" s="85">
        <v>0</v>
      </c>
    </row>
    <row r="21" spans="1:6" ht="15">
      <c r="A21" s="77" t="s">
        <v>33</v>
      </c>
      <c r="B21" s="85">
        <v>356439.2</v>
      </c>
      <c r="C21" s="85">
        <v>1007459</v>
      </c>
      <c r="D21" s="76" t="s">
        <v>34</v>
      </c>
      <c r="E21" s="85">
        <v>0</v>
      </c>
      <c r="F21" s="85">
        <v>0</v>
      </c>
    </row>
    <row r="22" spans="1:6" ht="15">
      <c r="A22" s="77" t="s">
        <v>35</v>
      </c>
      <c r="B22" s="85">
        <v>14280732.77</v>
      </c>
      <c r="C22" s="85">
        <v>8394952</v>
      </c>
      <c r="D22" s="76" t="s">
        <v>36</v>
      </c>
      <c r="E22" s="85">
        <v>0</v>
      </c>
      <c r="F22" s="85">
        <v>0</v>
      </c>
    </row>
    <row r="23" spans="1:6" ht="15">
      <c r="A23" s="77" t="s">
        <v>37</v>
      </c>
      <c r="B23" s="85">
        <v>30449993.95</v>
      </c>
      <c r="C23" s="85">
        <v>35640539.4</v>
      </c>
      <c r="D23" s="115" t="s">
        <v>38</v>
      </c>
      <c r="E23" s="87">
        <f>E24+E25</f>
        <v>19281289.1</v>
      </c>
      <c r="F23" s="87">
        <f>F24+F25</f>
        <v>37230989.69</v>
      </c>
    </row>
    <row r="24" spans="1:6" ht="15">
      <c r="A24" s="77" t="s">
        <v>39</v>
      </c>
      <c r="B24" s="85">
        <v>0</v>
      </c>
      <c r="C24" s="85">
        <v>0</v>
      </c>
      <c r="D24" s="76" t="s">
        <v>40</v>
      </c>
      <c r="E24" s="85">
        <v>19281289.1</v>
      </c>
      <c r="F24" s="85">
        <v>37230989.69</v>
      </c>
    </row>
    <row r="25" spans="1:6" ht="15">
      <c r="A25" s="23" t="s">
        <v>41</v>
      </c>
      <c r="B25" s="87">
        <f>SUM(B26:B30)</f>
        <v>110059156.72</v>
      </c>
      <c r="C25" s="87">
        <f>SUM(C26:C30)</f>
        <v>72920174.1</v>
      </c>
      <c r="D25" s="76" t="s">
        <v>42</v>
      </c>
      <c r="E25" s="85">
        <v>0</v>
      </c>
      <c r="F25" s="85">
        <v>0</v>
      </c>
    </row>
    <row r="26" spans="1:6" ht="15">
      <c r="A26" s="77" t="s">
        <v>43</v>
      </c>
      <c r="B26" s="85">
        <v>0</v>
      </c>
      <c r="C26" s="85">
        <v>0</v>
      </c>
      <c r="D26" s="115" t="s">
        <v>44</v>
      </c>
      <c r="E26" s="87">
        <v>0</v>
      </c>
      <c r="F26" s="87">
        <v>0</v>
      </c>
    </row>
    <row r="27" spans="1:6" ht="15">
      <c r="A27" s="77" t="s">
        <v>45</v>
      </c>
      <c r="B27" s="85">
        <v>10484259.9</v>
      </c>
      <c r="C27" s="85">
        <v>16413219.7</v>
      </c>
      <c r="D27" s="115" t="s">
        <v>46</v>
      </c>
      <c r="E27" s="87">
        <f>SUM(E28:E30)</f>
        <v>0</v>
      </c>
      <c r="F27" s="87">
        <f>SUM(F28:F30)</f>
        <v>0</v>
      </c>
    </row>
    <row r="28" spans="1:6" ht="15">
      <c r="A28" s="77" t="s">
        <v>47</v>
      </c>
      <c r="B28" s="85">
        <v>0</v>
      </c>
      <c r="C28" s="85">
        <v>0</v>
      </c>
      <c r="D28" s="76" t="s">
        <v>48</v>
      </c>
      <c r="E28" s="85">
        <v>0</v>
      </c>
      <c r="F28" s="85">
        <v>0</v>
      </c>
    </row>
    <row r="29" spans="1:6" ht="15">
      <c r="A29" s="77" t="s">
        <v>49</v>
      </c>
      <c r="B29" s="85">
        <v>99574896.82</v>
      </c>
      <c r="C29" s="85">
        <v>56506954.4</v>
      </c>
      <c r="D29" s="76" t="s">
        <v>50</v>
      </c>
      <c r="E29" s="85">
        <v>0</v>
      </c>
      <c r="F29" s="85">
        <v>0</v>
      </c>
    </row>
    <row r="30" spans="1:6" ht="15">
      <c r="A30" s="77" t="s">
        <v>51</v>
      </c>
      <c r="B30" s="85">
        <v>0</v>
      </c>
      <c r="C30" s="85">
        <v>0</v>
      </c>
      <c r="D30" s="76" t="s">
        <v>52</v>
      </c>
      <c r="E30" s="85">
        <v>0</v>
      </c>
      <c r="F30" s="85">
        <v>0</v>
      </c>
    </row>
    <row r="31" spans="1:6" ht="15">
      <c r="A31" s="23" t="s">
        <v>53</v>
      </c>
      <c r="B31" s="87">
        <f>SUM(B32:B36)</f>
        <v>0</v>
      </c>
      <c r="C31" s="87">
        <f>SUM(C32:C36)</f>
        <v>0</v>
      </c>
      <c r="D31" s="115" t="s">
        <v>54</v>
      </c>
      <c r="E31" s="87">
        <f>SUM(E32:E37)</f>
        <v>145637907.87</v>
      </c>
      <c r="F31" s="87">
        <f>SUM(F32:F37)</f>
        <v>116848527.85999998</v>
      </c>
    </row>
    <row r="32" spans="1:6" ht="15">
      <c r="A32" s="77" t="s">
        <v>55</v>
      </c>
      <c r="B32" s="85">
        <v>0</v>
      </c>
      <c r="C32" s="85">
        <v>0</v>
      </c>
      <c r="D32" s="76" t="s">
        <v>56</v>
      </c>
      <c r="E32" s="85">
        <v>75139325.96</v>
      </c>
      <c r="F32" s="85">
        <v>72273736.74</v>
      </c>
    </row>
    <row r="33" spans="1:6" ht="15">
      <c r="A33" s="77" t="s">
        <v>57</v>
      </c>
      <c r="B33" s="85">
        <v>0</v>
      </c>
      <c r="C33" s="85">
        <v>0</v>
      </c>
      <c r="D33" s="76" t="s">
        <v>58</v>
      </c>
      <c r="E33" s="85">
        <v>70498581.91</v>
      </c>
      <c r="F33" s="85">
        <v>44574791.12</v>
      </c>
    </row>
    <row r="34" spans="1:6" ht="15">
      <c r="A34" s="77" t="s">
        <v>59</v>
      </c>
      <c r="B34" s="85">
        <v>0</v>
      </c>
      <c r="C34" s="85">
        <v>0</v>
      </c>
      <c r="D34" s="76" t="s">
        <v>60</v>
      </c>
      <c r="E34" s="85">
        <v>0</v>
      </c>
      <c r="F34" s="85">
        <v>0</v>
      </c>
    </row>
    <row r="35" spans="1:6" ht="15">
      <c r="A35" s="77" t="s">
        <v>61</v>
      </c>
      <c r="B35" s="85">
        <v>0</v>
      </c>
      <c r="C35" s="85">
        <v>0</v>
      </c>
      <c r="D35" s="76" t="s">
        <v>62</v>
      </c>
      <c r="E35" s="85">
        <v>0</v>
      </c>
      <c r="F35" s="85">
        <v>0</v>
      </c>
    </row>
    <row r="36" spans="1:6" ht="15">
      <c r="A36" s="77" t="s">
        <v>63</v>
      </c>
      <c r="B36" s="85">
        <v>0</v>
      </c>
      <c r="C36" s="85">
        <v>0</v>
      </c>
      <c r="D36" s="76" t="s">
        <v>64</v>
      </c>
      <c r="E36" s="85">
        <v>0</v>
      </c>
      <c r="F36" s="85">
        <v>0</v>
      </c>
    </row>
    <row r="37" spans="1:6" ht="15">
      <c r="A37" s="23" t="s">
        <v>65</v>
      </c>
      <c r="B37" s="85">
        <v>0</v>
      </c>
      <c r="C37" s="85">
        <v>0</v>
      </c>
      <c r="D37" s="76" t="s">
        <v>66</v>
      </c>
      <c r="E37" s="85">
        <v>0</v>
      </c>
      <c r="F37" s="85">
        <v>0</v>
      </c>
    </row>
    <row r="38" spans="1:6" ht="15">
      <c r="A38" s="23" t="s">
        <v>67</v>
      </c>
      <c r="B38" s="87">
        <f>SUM(B39:B40)</f>
        <v>0</v>
      </c>
      <c r="C38" s="87">
        <f>SUM(C39:C40)</f>
        <v>0</v>
      </c>
      <c r="D38" s="115" t="s">
        <v>68</v>
      </c>
      <c r="E38" s="87">
        <f>SUM(E39:E41)</f>
        <v>0</v>
      </c>
      <c r="F38" s="87">
        <f>SUM(F39:F41)</f>
        <v>0</v>
      </c>
    </row>
    <row r="39" spans="1:6" ht="15">
      <c r="A39" s="77" t="s">
        <v>69</v>
      </c>
      <c r="B39" s="85">
        <v>0</v>
      </c>
      <c r="C39" s="85">
        <v>0</v>
      </c>
      <c r="D39" s="76" t="s">
        <v>70</v>
      </c>
      <c r="E39" s="85">
        <v>0</v>
      </c>
      <c r="F39" s="85">
        <v>0</v>
      </c>
    </row>
    <row r="40" spans="1:6" ht="15">
      <c r="A40" s="77" t="s">
        <v>71</v>
      </c>
      <c r="B40" s="85">
        <v>0</v>
      </c>
      <c r="C40" s="85">
        <v>0</v>
      </c>
      <c r="D40" s="76" t="s">
        <v>72</v>
      </c>
      <c r="E40" s="85">
        <v>0</v>
      </c>
      <c r="F40" s="85">
        <v>0</v>
      </c>
    </row>
    <row r="41" spans="1:6" ht="15">
      <c r="A41" s="23" t="s">
        <v>73</v>
      </c>
      <c r="B41" s="87">
        <f>SUM(B42:B45)</f>
        <v>400745</v>
      </c>
      <c r="C41" s="87">
        <f>SUM(C42:C45)</f>
        <v>368745</v>
      </c>
      <c r="D41" s="76" t="s">
        <v>74</v>
      </c>
      <c r="E41" s="85">
        <v>0</v>
      </c>
      <c r="F41" s="85">
        <v>0</v>
      </c>
    </row>
    <row r="42" spans="1:6" ht="15">
      <c r="A42" s="77" t="s">
        <v>75</v>
      </c>
      <c r="B42" s="85">
        <v>400745</v>
      </c>
      <c r="C42" s="85">
        <v>368745</v>
      </c>
      <c r="D42" s="115" t="s">
        <v>76</v>
      </c>
      <c r="E42" s="87">
        <f>SUM(E43:E45)</f>
        <v>0</v>
      </c>
      <c r="F42" s="87">
        <f>SUM(F43:F45)</f>
        <v>0</v>
      </c>
    </row>
    <row r="43" spans="1:6" ht="15">
      <c r="A43" s="77" t="s">
        <v>77</v>
      </c>
      <c r="B43" s="85">
        <v>0</v>
      </c>
      <c r="C43" s="85">
        <v>0</v>
      </c>
      <c r="D43" s="76" t="s">
        <v>78</v>
      </c>
      <c r="E43" s="85">
        <v>0</v>
      </c>
      <c r="F43" s="85">
        <v>0</v>
      </c>
    </row>
    <row r="44" spans="1:6" ht="15">
      <c r="A44" s="77" t="s">
        <v>79</v>
      </c>
      <c r="B44" s="85">
        <v>0</v>
      </c>
      <c r="C44" s="85">
        <v>0</v>
      </c>
      <c r="D44" s="76" t="s">
        <v>80</v>
      </c>
      <c r="E44" s="85">
        <v>0</v>
      </c>
      <c r="F44" s="85">
        <v>0</v>
      </c>
    </row>
    <row r="45" spans="1:6" ht="15">
      <c r="A45" s="77" t="s">
        <v>81</v>
      </c>
      <c r="B45" s="85">
        <v>0</v>
      </c>
      <c r="C45" s="85">
        <v>0</v>
      </c>
      <c r="D45" s="76" t="s">
        <v>82</v>
      </c>
      <c r="E45" s="85">
        <v>0</v>
      </c>
      <c r="F45" s="85">
        <v>0</v>
      </c>
    </row>
    <row r="46" spans="1:6" ht="15">
      <c r="A46" s="34"/>
      <c r="B46" s="86"/>
      <c r="C46" s="86"/>
      <c r="D46" s="34"/>
      <c r="E46" s="86"/>
      <c r="F46" s="86"/>
    </row>
    <row r="47" spans="1:6" ht="15">
      <c r="A47" s="23" t="s">
        <v>83</v>
      </c>
      <c r="B47" s="87">
        <f>B9+B17+B25+B31+B38+B41</f>
        <v>2846269399.5299997</v>
      </c>
      <c r="C47" s="87">
        <f>C9+C17+C25+C31+C38+C41</f>
        <v>1901452682.25</v>
      </c>
      <c r="D47" s="73" t="s">
        <v>84</v>
      </c>
      <c r="E47" s="87">
        <f>E9+E19+E23+E26+E27+E31+E38+E42</f>
        <v>418457039.57</v>
      </c>
      <c r="F47" s="87">
        <f>F9+F19+F23+F26+F27+F31+F38+F42</f>
        <v>356408086.90999997</v>
      </c>
    </row>
    <row r="48" spans="1:6" ht="15">
      <c r="A48" s="34"/>
      <c r="B48" s="86"/>
      <c r="C48" s="86"/>
      <c r="D48" s="34"/>
      <c r="E48" s="86"/>
      <c r="F48" s="86"/>
    </row>
    <row r="49" spans="1:6" ht="15">
      <c r="A49" s="62" t="s">
        <v>85</v>
      </c>
      <c r="B49" s="86"/>
      <c r="C49" s="86"/>
      <c r="D49" s="73" t="s">
        <v>86</v>
      </c>
      <c r="E49" s="86"/>
      <c r="F49" s="86"/>
    </row>
    <row r="50" spans="1:6" ht="15">
      <c r="A50" s="22" t="s">
        <v>87</v>
      </c>
      <c r="B50" s="85">
        <v>13328869</v>
      </c>
      <c r="C50" s="85">
        <v>314030</v>
      </c>
      <c r="D50" s="74" t="s">
        <v>88</v>
      </c>
      <c r="E50" s="85">
        <v>0</v>
      </c>
      <c r="F50" s="85">
        <v>0</v>
      </c>
    </row>
    <row r="51" spans="1:6" ht="15">
      <c r="A51" s="22" t="s">
        <v>89</v>
      </c>
      <c r="B51" s="85">
        <v>394728071.29</v>
      </c>
      <c r="C51" s="85">
        <v>425819052.89</v>
      </c>
      <c r="D51" s="74" t="s">
        <v>90</v>
      </c>
      <c r="E51" s="85">
        <v>0</v>
      </c>
      <c r="F51" s="85">
        <v>0</v>
      </c>
    </row>
    <row r="52" spans="1:6" ht="15">
      <c r="A52" s="22" t="s">
        <v>91</v>
      </c>
      <c r="B52" s="85">
        <v>11782543453.14</v>
      </c>
      <c r="C52" s="85">
        <v>11147083767.6</v>
      </c>
      <c r="D52" s="74" t="s">
        <v>92</v>
      </c>
      <c r="E52" s="85">
        <v>2299684646.47</v>
      </c>
      <c r="F52" s="85">
        <v>2299684646.47</v>
      </c>
    </row>
    <row r="53" spans="1:6" ht="15">
      <c r="A53" s="22" t="s">
        <v>93</v>
      </c>
      <c r="B53" s="85">
        <v>1609334798.89</v>
      </c>
      <c r="C53" s="85">
        <v>1591067388.41</v>
      </c>
      <c r="D53" s="74" t="s">
        <v>94</v>
      </c>
      <c r="E53" s="85">
        <v>13200000</v>
      </c>
      <c r="F53" s="85">
        <v>13200000</v>
      </c>
    </row>
    <row r="54" spans="1:6" ht="15">
      <c r="A54" s="22" t="s">
        <v>95</v>
      </c>
      <c r="B54" s="85">
        <v>57760516.43</v>
      </c>
      <c r="C54" s="85">
        <v>57727985.61</v>
      </c>
      <c r="D54" s="74" t="s">
        <v>96</v>
      </c>
      <c r="E54" s="85">
        <v>0</v>
      </c>
      <c r="F54" s="85">
        <v>0</v>
      </c>
    </row>
    <row r="55" spans="1:6" ht="15">
      <c r="A55" s="22" t="s">
        <v>97</v>
      </c>
      <c r="B55" s="85">
        <v>-1219438804.85</v>
      </c>
      <c r="C55" s="85">
        <v>-1198843330.49</v>
      </c>
      <c r="D55" s="78" t="s">
        <v>98</v>
      </c>
      <c r="E55" s="85">
        <v>0</v>
      </c>
      <c r="F55" s="85">
        <v>0</v>
      </c>
    </row>
    <row r="56" spans="1:6" ht="15">
      <c r="A56" s="22" t="s">
        <v>99</v>
      </c>
      <c r="B56" s="85">
        <v>0</v>
      </c>
      <c r="C56" s="85">
        <v>0</v>
      </c>
      <c r="D56" s="34"/>
      <c r="E56" s="86"/>
      <c r="F56" s="86"/>
    </row>
    <row r="57" spans="1:6" ht="15">
      <c r="A57" s="22" t="s">
        <v>100</v>
      </c>
      <c r="B57" s="85">
        <v>0</v>
      </c>
      <c r="C57" s="85">
        <v>0</v>
      </c>
      <c r="D57" s="73" t="s">
        <v>101</v>
      </c>
      <c r="E57" s="87">
        <f>SUM(E50:E55)</f>
        <v>2312884646.47</v>
      </c>
      <c r="F57" s="87">
        <f>SUM(F50:F55)</f>
        <v>2312884646.47</v>
      </c>
    </row>
    <row r="58" spans="1:6" ht="15">
      <c r="A58" s="22" t="s">
        <v>102</v>
      </c>
      <c r="B58" s="85">
        <v>0</v>
      </c>
      <c r="C58" s="85">
        <v>0</v>
      </c>
      <c r="D58" s="34"/>
      <c r="E58" s="86"/>
      <c r="F58" s="86"/>
    </row>
    <row r="59" spans="1:6" ht="15">
      <c r="A59" s="34"/>
      <c r="B59" s="86"/>
      <c r="C59" s="86"/>
      <c r="D59" s="73" t="s">
        <v>103</v>
      </c>
      <c r="E59" s="87">
        <f>E47+E57</f>
        <v>2731341686.04</v>
      </c>
      <c r="F59" s="87">
        <f>F47+F57</f>
        <v>2669292733.3799996</v>
      </c>
    </row>
    <row r="60" spans="1:6" ht="15">
      <c r="A60" s="23" t="s">
        <v>104</v>
      </c>
      <c r="B60" s="87">
        <f>SUM(B50:B58)</f>
        <v>12638256903.9</v>
      </c>
      <c r="C60" s="87">
        <f>SUM(C50:C58)</f>
        <v>12023168894.02</v>
      </c>
      <c r="D60" s="34"/>
      <c r="E60" s="86"/>
      <c r="F60" s="86"/>
    </row>
    <row r="61" spans="1:6" ht="15">
      <c r="A61" s="34"/>
      <c r="B61" s="86"/>
      <c r="C61" s="86"/>
      <c r="D61" s="79" t="s">
        <v>105</v>
      </c>
      <c r="E61" s="86"/>
      <c r="F61" s="86"/>
    </row>
    <row r="62" spans="1:6" ht="15">
      <c r="A62" s="23" t="s">
        <v>106</v>
      </c>
      <c r="B62" s="87">
        <f>SUM(B47+B60)</f>
        <v>15484526303.43</v>
      </c>
      <c r="C62" s="87">
        <f>SUM(C47+C60)</f>
        <v>13924621576.27</v>
      </c>
      <c r="D62" s="34"/>
      <c r="E62" s="86"/>
      <c r="F62" s="86"/>
    </row>
    <row r="63" spans="1:6" ht="15">
      <c r="A63" s="34"/>
      <c r="B63" s="84"/>
      <c r="C63" s="84"/>
      <c r="D63" s="73" t="s">
        <v>107</v>
      </c>
      <c r="E63" s="87">
        <f>SUM(E64:E66)</f>
        <v>3512646925.4700003</v>
      </c>
      <c r="F63" s="87">
        <f>SUM(F64:F66)</f>
        <v>3566364803.56</v>
      </c>
    </row>
    <row r="64" spans="1:6" ht="15">
      <c r="A64" s="34"/>
      <c r="B64" s="84"/>
      <c r="C64" s="84"/>
      <c r="D64" s="80" t="s">
        <v>108</v>
      </c>
      <c r="E64" s="85">
        <v>3100593121.71</v>
      </c>
      <c r="F64" s="85">
        <v>3157633651.04</v>
      </c>
    </row>
    <row r="65" spans="1:6" ht="15">
      <c r="A65" s="34"/>
      <c r="B65" s="84"/>
      <c r="C65" s="84"/>
      <c r="D65" s="81" t="s">
        <v>109</v>
      </c>
      <c r="E65" s="85">
        <v>412053803.76</v>
      </c>
      <c r="F65" s="85">
        <v>408731152.52</v>
      </c>
    </row>
    <row r="66" spans="1:6" ht="15">
      <c r="A66" s="34"/>
      <c r="B66" s="84"/>
      <c r="C66" s="84"/>
      <c r="D66" s="80" t="s">
        <v>110</v>
      </c>
      <c r="E66" s="85">
        <v>0</v>
      </c>
      <c r="F66" s="85">
        <v>0</v>
      </c>
    </row>
    <row r="67" spans="1:6" ht="15">
      <c r="A67" s="34"/>
      <c r="B67" s="84"/>
      <c r="C67" s="84"/>
      <c r="D67" s="34"/>
      <c r="E67" s="86"/>
      <c r="F67" s="86"/>
    </row>
    <row r="68" spans="1:6" ht="15">
      <c r="A68" s="34"/>
      <c r="B68" s="84"/>
      <c r="C68" s="84"/>
      <c r="D68" s="73" t="s">
        <v>111</v>
      </c>
      <c r="E68" s="87">
        <f>SUM(E69:E73)</f>
        <v>9240537691.919996</v>
      </c>
      <c r="F68" s="87">
        <f>SUM(F69:F73)</f>
        <v>7688964039.330004</v>
      </c>
    </row>
    <row r="69" spans="1:6" ht="15">
      <c r="A69" s="59"/>
      <c r="B69" s="84"/>
      <c r="C69" s="84"/>
      <c r="D69" s="80" t="s">
        <v>112</v>
      </c>
      <c r="E69" s="85">
        <v>1513493642.6499977</v>
      </c>
      <c r="F69" s="85">
        <v>2412406774.710003</v>
      </c>
    </row>
    <row r="70" spans="1:6" ht="15">
      <c r="A70" s="59"/>
      <c r="B70" s="84"/>
      <c r="C70" s="84"/>
      <c r="D70" s="80" t="s">
        <v>113</v>
      </c>
      <c r="E70" s="85">
        <v>7257203280.87</v>
      </c>
      <c r="F70" s="85">
        <v>4802115675.1</v>
      </c>
    </row>
    <row r="71" spans="1:6" ht="15">
      <c r="A71" s="59"/>
      <c r="B71" s="84"/>
      <c r="C71" s="84"/>
      <c r="D71" s="80" t="s">
        <v>114</v>
      </c>
      <c r="E71" s="85">
        <v>469840768.4</v>
      </c>
      <c r="F71" s="85">
        <v>474441589.52</v>
      </c>
    </row>
    <row r="72" spans="1:6" ht="15">
      <c r="A72" s="59"/>
      <c r="B72" s="84"/>
      <c r="C72" s="84"/>
      <c r="D72" s="80" t="s">
        <v>115</v>
      </c>
      <c r="E72" s="85">
        <v>0</v>
      </c>
      <c r="F72" s="85">
        <v>0</v>
      </c>
    </row>
    <row r="73" spans="1:6" ht="15">
      <c r="A73" s="59"/>
      <c r="B73" s="84"/>
      <c r="C73" s="84"/>
      <c r="D73" s="80" t="s">
        <v>116</v>
      </c>
      <c r="E73" s="85">
        <v>0</v>
      </c>
      <c r="F73" s="85">
        <v>0</v>
      </c>
    </row>
    <row r="74" spans="1:6" ht="15">
      <c r="A74" s="59"/>
      <c r="B74" s="84"/>
      <c r="C74" s="84"/>
      <c r="D74" s="34"/>
      <c r="E74" s="86"/>
      <c r="F74" s="86"/>
    </row>
    <row r="75" spans="1:6" ht="15">
      <c r="A75" s="59"/>
      <c r="B75" s="84"/>
      <c r="C75" s="84"/>
      <c r="D75" s="73" t="s">
        <v>117</v>
      </c>
      <c r="E75" s="87">
        <f>E76+E77</f>
        <v>0</v>
      </c>
      <c r="F75" s="87">
        <f>F76+F77</f>
        <v>0</v>
      </c>
    </row>
    <row r="76" spans="1:6" ht="15">
      <c r="A76" s="59"/>
      <c r="B76" s="84"/>
      <c r="C76" s="84"/>
      <c r="D76" s="74" t="s">
        <v>118</v>
      </c>
      <c r="E76" s="85">
        <v>0</v>
      </c>
      <c r="F76" s="85">
        <v>0</v>
      </c>
    </row>
    <row r="77" spans="1:6" ht="15">
      <c r="A77" s="59"/>
      <c r="B77" s="84"/>
      <c r="C77" s="84"/>
      <c r="D77" s="74" t="s">
        <v>119</v>
      </c>
      <c r="E77" s="85">
        <v>0</v>
      </c>
      <c r="F77" s="85">
        <v>0</v>
      </c>
    </row>
    <row r="78" spans="1:6" ht="15">
      <c r="A78" s="59"/>
      <c r="B78" s="84"/>
      <c r="C78" s="84"/>
      <c r="D78" s="34"/>
      <c r="E78" s="86"/>
      <c r="F78" s="86"/>
    </row>
    <row r="79" spans="1:6" ht="15">
      <c r="A79" s="59"/>
      <c r="B79" s="84"/>
      <c r="C79" s="84"/>
      <c r="D79" s="73" t="s">
        <v>120</v>
      </c>
      <c r="E79" s="87">
        <f>E63+E68+E75</f>
        <v>12753184617.389996</v>
      </c>
      <c r="F79" s="87">
        <f>F63+F68+F75</f>
        <v>11255328842.890003</v>
      </c>
    </row>
    <row r="80" spans="1:6" ht="15">
      <c r="A80" s="59"/>
      <c r="B80" s="84"/>
      <c r="C80" s="84"/>
      <c r="D80" s="34"/>
      <c r="E80" s="86"/>
      <c r="F80" s="86"/>
    </row>
    <row r="81" spans="1:6" ht="15">
      <c r="A81" s="59"/>
      <c r="B81" s="84"/>
      <c r="C81" s="84"/>
      <c r="D81" s="73" t="s">
        <v>121</v>
      </c>
      <c r="E81" s="87">
        <f>E59+E79</f>
        <v>15484526303.429996</v>
      </c>
      <c r="F81" s="87">
        <f>F59+F79</f>
        <v>13924621576.270002</v>
      </c>
    </row>
    <row r="82" spans="1:6" ht="15">
      <c r="A82" s="43"/>
      <c r="B82" s="88"/>
      <c r="C82" s="88"/>
      <c r="D82" s="35"/>
      <c r="E82" s="88"/>
      <c r="F82" s="88"/>
    </row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50:F81 B9:C62 E9:F45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  <ignoredErrors>
    <ignoredError sqref="B62 B60 B47 B41 B38 B25 B17 B9 E9 E31 E27 E23 E19 E38 E42 E47 E57 E59 E63 E68 E75 E79 E81" unlockedFormula="1"/>
    <ignoredError sqref="B3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A1">
      <selection activeCell="F23" sqref="F23"/>
    </sheetView>
  </sheetViews>
  <sheetFormatPr defaultColWidth="0" defaultRowHeight="15" zeroHeight="1"/>
  <cols>
    <col min="1" max="1" width="59.140625" style="0" customWidth="1"/>
    <col min="2" max="2" width="18.8515625" style="89" customWidth="1"/>
    <col min="3" max="4" width="19.421875" style="0" customWidth="1"/>
    <col min="5" max="5" width="21.140625" style="0" customWidth="1"/>
    <col min="6" max="6" width="20.7109375" style="0" customWidth="1"/>
    <col min="7" max="7" width="18.00390625" style="0" customWidth="1"/>
    <col min="8" max="8" width="21.28125" style="0" customWidth="1"/>
    <col min="9" max="16384" width="11.421875" style="0" hidden="1" customWidth="1"/>
  </cols>
  <sheetData>
    <row r="1" spans="1:8" ht="26.25">
      <c r="A1" s="140" t="s">
        <v>122</v>
      </c>
      <c r="B1" s="140"/>
      <c r="C1" s="140"/>
      <c r="D1" s="140"/>
      <c r="E1" s="140"/>
      <c r="F1" s="140"/>
      <c r="G1" s="140"/>
      <c r="H1" s="140"/>
    </row>
    <row r="2" spans="1:8" ht="15">
      <c r="A2" s="126" t="s">
        <v>291</v>
      </c>
      <c r="B2" s="127"/>
      <c r="C2" s="127"/>
      <c r="D2" s="127"/>
      <c r="E2" s="127"/>
      <c r="F2" s="127"/>
      <c r="G2" s="127"/>
      <c r="H2" s="128"/>
    </row>
    <row r="3" spans="1:8" ht="15">
      <c r="A3" s="129" t="s">
        <v>123</v>
      </c>
      <c r="B3" s="130"/>
      <c r="C3" s="130"/>
      <c r="D3" s="130"/>
      <c r="E3" s="130"/>
      <c r="F3" s="130"/>
      <c r="G3" s="130"/>
      <c r="H3" s="131"/>
    </row>
    <row r="4" spans="1:8" ht="15">
      <c r="A4" s="132" t="s">
        <v>479</v>
      </c>
      <c r="B4" s="133"/>
      <c r="C4" s="133"/>
      <c r="D4" s="133"/>
      <c r="E4" s="133"/>
      <c r="F4" s="133"/>
      <c r="G4" s="133"/>
      <c r="H4" s="134"/>
    </row>
    <row r="5" spans="1:8" ht="15">
      <c r="A5" s="135" t="s">
        <v>2</v>
      </c>
      <c r="B5" s="136"/>
      <c r="C5" s="136"/>
      <c r="D5" s="136"/>
      <c r="E5" s="136"/>
      <c r="F5" s="136"/>
      <c r="G5" s="136"/>
      <c r="H5" s="137"/>
    </row>
    <row r="6" spans="1:8" ht="62.25" customHeight="1">
      <c r="A6" s="5" t="s">
        <v>124</v>
      </c>
      <c r="B6" s="91" t="s">
        <v>477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6" t="s">
        <v>130</v>
      </c>
    </row>
    <row r="7" spans="1:8" ht="15">
      <c r="A7" s="59"/>
      <c r="B7" s="92"/>
      <c r="C7" s="59"/>
      <c r="D7" s="59"/>
      <c r="E7" s="59"/>
      <c r="F7" s="59"/>
      <c r="G7" s="59"/>
      <c r="H7" s="59"/>
    </row>
    <row r="8" spans="1:8" ht="15">
      <c r="A8" s="65" t="s">
        <v>131</v>
      </c>
      <c r="B8" s="87">
        <f>B9+B13</f>
        <v>2336915636.16</v>
      </c>
      <c r="C8" s="87">
        <f aca="true" t="shared" si="0" ref="C8:H8">C9+C13</f>
        <v>0</v>
      </c>
      <c r="D8" s="87">
        <f t="shared" si="0"/>
        <v>17949700.59</v>
      </c>
      <c r="E8" s="87">
        <f t="shared" si="0"/>
        <v>0</v>
      </c>
      <c r="F8" s="87">
        <f t="shared" si="0"/>
        <v>2318965935.57</v>
      </c>
      <c r="G8" s="87">
        <f t="shared" si="0"/>
        <v>88182630.57</v>
      </c>
      <c r="H8" s="87">
        <f t="shared" si="0"/>
        <v>0</v>
      </c>
    </row>
    <row r="9" spans="1:8" ht="15">
      <c r="A9" s="66" t="s">
        <v>132</v>
      </c>
      <c r="B9" s="85">
        <f>SUM(B10:B12)</f>
        <v>0</v>
      </c>
      <c r="C9" s="85">
        <f aca="true" t="shared" si="1" ref="C9:H9">SUM(C10:C12)</f>
        <v>0</v>
      </c>
      <c r="D9" s="85">
        <f t="shared" si="1"/>
        <v>0</v>
      </c>
      <c r="E9" s="85">
        <f t="shared" si="1"/>
        <v>0</v>
      </c>
      <c r="F9" s="85">
        <f t="shared" si="1"/>
        <v>0</v>
      </c>
      <c r="G9" s="85">
        <f t="shared" si="1"/>
        <v>0</v>
      </c>
      <c r="H9" s="85">
        <f t="shared" si="1"/>
        <v>0</v>
      </c>
    </row>
    <row r="10" spans="1:8" ht="15">
      <c r="A10" s="67" t="s">
        <v>133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</row>
    <row r="11" spans="1:8" ht="15">
      <c r="A11" s="67" t="s">
        <v>134</v>
      </c>
      <c r="B11" s="85">
        <v>0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</row>
    <row r="12" spans="1:8" ht="15">
      <c r="A12" s="67" t="s">
        <v>135</v>
      </c>
      <c r="B12" s="85">
        <v>0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</row>
    <row r="13" spans="1:256" ht="15">
      <c r="A13" s="66" t="s">
        <v>136</v>
      </c>
      <c r="B13" s="85">
        <f>SUM(B14+B20+B21)</f>
        <v>2336915636.16</v>
      </c>
      <c r="C13" s="85">
        <f aca="true" t="shared" si="2" ref="C13:BN13">SUM(C14+C20+C21)</f>
        <v>0</v>
      </c>
      <c r="D13" s="85">
        <f t="shared" si="2"/>
        <v>17949700.59</v>
      </c>
      <c r="E13" s="85">
        <f t="shared" si="2"/>
        <v>0</v>
      </c>
      <c r="F13" s="85">
        <f t="shared" si="2"/>
        <v>2318965935.57</v>
      </c>
      <c r="G13" s="85">
        <f t="shared" si="2"/>
        <v>88182630.57</v>
      </c>
      <c r="H13" s="85">
        <f t="shared" si="2"/>
        <v>0</v>
      </c>
      <c r="I13" s="85">
        <f t="shared" si="2"/>
        <v>0</v>
      </c>
      <c r="J13" s="85">
        <f t="shared" si="2"/>
        <v>0</v>
      </c>
      <c r="K13" s="85">
        <f t="shared" si="2"/>
        <v>0</v>
      </c>
      <c r="L13" s="85">
        <f t="shared" si="2"/>
        <v>0</v>
      </c>
      <c r="M13" s="85">
        <f t="shared" si="2"/>
        <v>0</v>
      </c>
      <c r="N13" s="85">
        <f t="shared" si="2"/>
        <v>0</v>
      </c>
      <c r="O13" s="85">
        <f t="shared" si="2"/>
        <v>0</v>
      </c>
      <c r="P13" s="85">
        <f t="shared" si="2"/>
        <v>0</v>
      </c>
      <c r="Q13" s="85">
        <f t="shared" si="2"/>
        <v>0</v>
      </c>
      <c r="R13" s="85">
        <f t="shared" si="2"/>
        <v>0</v>
      </c>
      <c r="S13" s="85">
        <f t="shared" si="2"/>
        <v>0</v>
      </c>
      <c r="T13" s="85">
        <f t="shared" si="2"/>
        <v>0</v>
      </c>
      <c r="U13" s="85">
        <f t="shared" si="2"/>
        <v>0</v>
      </c>
      <c r="V13" s="85">
        <f t="shared" si="2"/>
        <v>0</v>
      </c>
      <c r="W13" s="85">
        <f t="shared" si="2"/>
        <v>0</v>
      </c>
      <c r="X13" s="85">
        <f t="shared" si="2"/>
        <v>0</v>
      </c>
      <c r="Y13" s="85">
        <f t="shared" si="2"/>
        <v>0</v>
      </c>
      <c r="Z13" s="85">
        <f t="shared" si="2"/>
        <v>0</v>
      </c>
      <c r="AA13" s="85">
        <f t="shared" si="2"/>
        <v>0</v>
      </c>
      <c r="AB13" s="85">
        <f t="shared" si="2"/>
        <v>0</v>
      </c>
      <c r="AC13" s="85">
        <f t="shared" si="2"/>
        <v>0</v>
      </c>
      <c r="AD13" s="85">
        <f t="shared" si="2"/>
        <v>0</v>
      </c>
      <c r="AE13" s="85">
        <f t="shared" si="2"/>
        <v>0</v>
      </c>
      <c r="AF13" s="85">
        <f t="shared" si="2"/>
        <v>0</v>
      </c>
      <c r="AG13" s="85">
        <f t="shared" si="2"/>
        <v>0</v>
      </c>
      <c r="AH13" s="85">
        <f t="shared" si="2"/>
        <v>0</v>
      </c>
      <c r="AI13" s="85">
        <f t="shared" si="2"/>
        <v>0</v>
      </c>
      <c r="AJ13" s="85">
        <f t="shared" si="2"/>
        <v>0</v>
      </c>
      <c r="AK13" s="85">
        <f t="shared" si="2"/>
        <v>0</v>
      </c>
      <c r="AL13" s="85">
        <f t="shared" si="2"/>
        <v>0</v>
      </c>
      <c r="AM13" s="85">
        <f t="shared" si="2"/>
        <v>0</v>
      </c>
      <c r="AN13" s="85">
        <f t="shared" si="2"/>
        <v>0</v>
      </c>
      <c r="AO13" s="85">
        <f t="shared" si="2"/>
        <v>0</v>
      </c>
      <c r="AP13" s="85">
        <f t="shared" si="2"/>
        <v>0</v>
      </c>
      <c r="AQ13" s="85">
        <f t="shared" si="2"/>
        <v>0</v>
      </c>
      <c r="AR13" s="85">
        <f t="shared" si="2"/>
        <v>0</v>
      </c>
      <c r="AS13" s="85">
        <f t="shared" si="2"/>
        <v>0</v>
      </c>
      <c r="AT13" s="85">
        <f t="shared" si="2"/>
        <v>0</v>
      </c>
      <c r="AU13" s="85">
        <f t="shared" si="2"/>
        <v>0</v>
      </c>
      <c r="AV13" s="85">
        <f t="shared" si="2"/>
        <v>0</v>
      </c>
      <c r="AW13" s="85">
        <f t="shared" si="2"/>
        <v>0</v>
      </c>
      <c r="AX13" s="85">
        <f t="shared" si="2"/>
        <v>0</v>
      </c>
      <c r="AY13" s="85">
        <f t="shared" si="2"/>
        <v>0</v>
      </c>
      <c r="AZ13" s="85">
        <f t="shared" si="2"/>
        <v>0</v>
      </c>
      <c r="BA13" s="85">
        <f t="shared" si="2"/>
        <v>0</v>
      </c>
      <c r="BB13" s="85">
        <f t="shared" si="2"/>
        <v>0</v>
      </c>
      <c r="BC13" s="85">
        <f t="shared" si="2"/>
        <v>0</v>
      </c>
      <c r="BD13" s="85">
        <f t="shared" si="2"/>
        <v>0</v>
      </c>
      <c r="BE13" s="85">
        <f t="shared" si="2"/>
        <v>0</v>
      </c>
      <c r="BF13" s="85">
        <f t="shared" si="2"/>
        <v>0</v>
      </c>
      <c r="BG13" s="85">
        <f t="shared" si="2"/>
        <v>0</v>
      </c>
      <c r="BH13" s="85">
        <f t="shared" si="2"/>
        <v>0</v>
      </c>
      <c r="BI13" s="85">
        <f t="shared" si="2"/>
        <v>0</v>
      </c>
      <c r="BJ13" s="85">
        <f t="shared" si="2"/>
        <v>0</v>
      </c>
      <c r="BK13" s="85">
        <f t="shared" si="2"/>
        <v>0</v>
      </c>
      <c r="BL13" s="85">
        <f t="shared" si="2"/>
        <v>0</v>
      </c>
      <c r="BM13" s="85">
        <f t="shared" si="2"/>
        <v>0</v>
      </c>
      <c r="BN13" s="85">
        <f t="shared" si="2"/>
        <v>0</v>
      </c>
      <c r="BO13" s="85">
        <f aca="true" t="shared" si="3" ref="BO13:DZ13">SUM(BO14+BO20+BO21)</f>
        <v>0</v>
      </c>
      <c r="BP13" s="85">
        <f t="shared" si="3"/>
        <v>0</v>
      </c>
      <c r="BQ13" s="85">
        <f t="shared" si="3"/>
        <v>0</v>
      </c>
      <c r="BR13" s="85">
        <f t="shared" si="3"/>
        <v>0</v>
      </c>
      <c r="BS13" s="85">
        <f t="shared" si="3"/>
        <v>0</v>
      </c>
      <c r="BT13" s="85">
        <f t="shared" si="3"/>
        <v>0</v>
      </c>
      <c r="BU13" s="85">
        <f t="shared" si="3"/>
        <v>0</v>
      </c>
      <c r="BV13" s="85">
        <f t="shared" si="3"/>
        <v>0</v>
      </c>
      <c r="BW13" s="85">
        <f t="shared" si="3"/>
        <v>0</v>
      </c>
      <c r="BX13" s="85">
        <f t="shared" si="3"/>
        <v>0</v>
      </c>
      <c r="BY13" s="85">
        <f t="shared" si="3"/>
        <v>0</v>
      </c>
      <c r="BZ13" s="85">
        <f t="shared" si="3"/>
        <v>0</v>
      </c>
      <c r="CA13" s="85">
        <f t="shared" si="3"/>
        <v>0</v>
      </c>
      <c r="CB13" s="85">
        <f t="shared" si="3"/>
        <v>0</v>
      </c>
      <c r="CC13" s="85">
        <f t="shared" si="3"/>
        <v>0</v>
      </c>
      <c r="CD13" s="85">
        <f t="shared" si="3"/>
        <v>0</v>
      </c>
      <c r="CE13" s="85">
        <f t="shared" si="3"/>
        <v>0</v>
      </c>
      <c r="CF13" s="85">
        <f t="shared" si="3"/>
        <v>0</v>
      </c>
      <c r="CG13" s="85">
        <f t="shared" si="3"/>
        <v>0</v>
      </c>
      <c r="CH13" s="85">
        <f t="shared" si="3"/>
        <v>0</v>
      </c>
      <c r="CI13" s="85">
        <f t="shared" si="3"/>
        <v>0</v>
      </c>
      <c r="CJ13" s="85">
        <f t="shared" si="3"/>
        <v>0</v>
      </c>
      <c r="CK13" s="85">
        <f t="shared" si="3"/>
        <v>0</v>
      </c>
      <c r="CL13" s="85">
        <f t="shared" si="3"/>
        <v>0</v>
      </c>
      <c r="CM13" s="85">
        <f t="shared" si="3"/>
        <v>0</v>
      </c>
      <c r="CN13" s="85">
        <f t="shared" si="3"/>
        <v>0</v>
      </c>
      <c r="CO13" s="85">
        <f t="shared" si="3"/>
        <v>0</v>
      </c>
      <c r="CP13" s="85">
        <f t="shared" si="3"/>
        <v>0</v>
      </c>
      <c r="CQ13" s="85">
        <f t="shared" si="3"/>
        <v>0</v>
      </c>
      <c r="CR13" s="85">
        <f t="shared" si="3"/>
        <v>0</v>
      </c>
      <c r="CS13" s="85">
        <f t="shared" si="3"/>
        <v>0</v>
      </c>
      <c r="CT13" s="85">
        <f t="shared" si="3"/>
        <v>0</v>
      </c>
      <c r="CU13" s="85">
        <f t="shared" si="3"/>
        <v>0</v>
      </c>
      <c r="CV13" s="85">
        <f t="shared" si="3"/>
        <v>0</v>
      </c>
      <c r="CW13" s="85">
        <f t="shared" si="3"/>
        <v>0</v>
      </c>
      <c r="CX13" s="85">
        <f t="shared" si="3"/>
        <v>0</v>
      </c>
      <c r="CY13" s="85">
        <f t="shared" si="3"/>
        <v>0</v>
      </c>
      <c r="CZ13" s="85">
        <f t="shared" si="3"/>
        <v>0</v>
      </c>
      <c r="DA13" s="85">
        <f t="shared" si="3"/>
        <v>0</v>
      </c>
      <c r="DB13" s="85">
        <f t="shared" si="3"/>
        <v>0</v>
      </c>
      <c r="DC13" s="85">
        <f t="shared" si="3"/>
        <v>0</v>
      </c>
      <c r="DD13" s="85">
        <f t="shared" si="3"/>
        <v>0</v>
      </c>
      <c r="DE13" s="85">
        <f t="shared" si="3"/>
        <v>0</v>
      </c>
      <c r="DF13" s="85">
        <f t="shared" si="3"/>
        <v>0</v>
      </c>
      <c r="DG13" s="85">
        <f t="shared" si="3"/>
        <v>0</v>
      </c>
      <c r="DH13" s="85">
        <f t="shared" si="3"/>
        <v>0</v>
      </c>
      <c r="DI13" s="85">
        <f t="shared" si="3"/>
        <v>0</v>
      </c>
      <c r="DJ13" s="85">
        <f t="shared" si="3"/>
        <v>0</v>
      </c>
      <c r="DK13" s="85">
        <f t="shared" si="3"/>
        <v>0</v>
      </c>
      <c r="DL13" s="85">
        <f t="shared" si="3"/>
        <v>0</v>
      </c>
      <c r="DM13" s="85">
        <f t="shared" si="3"/>
        <v>0</v>
      </c>
      <c r="DN13" s="85">
        <f t="shared" si="3"/>
        <v>0</v>
      </c>
      <c r="DO13" s="85">
        <f t="shared" si="3"/>
        <v>0</v>
      </c>
      <c r="DP13" s="85">
        <f t="shared" si="3"/>
        <v>0</v>
      </c>
      <c r="DQ13" s="85">
        <f t="shared" si="3"/>
        <v>0</v>
      </c>
      <c r="DR13" s="85">
        <f t="shared" si="3"/>
        <v>0</v>
      </c>
      <c r="DS13" s="85">
        <f t="shared" si="3"/>
        <v>0</v>
      </c>
      <c r="DT13" s="85">
        <f t="shared" si="3"/>
        <v>0</v>
      </c>
      <c r="DU13" s="85">
        <f t="shared" si="3"/>
        <v>0</v>
      </c>
      <c r="DV13" s="85">
        <f t="shared" si="3"/>
        <v>0</v>
      </c>
      <c r="DW13" s="85">
        <f t="shared" si="3"/>
        <v>0</v>
      </c>
      <c r="DX13" s="85">
        <f t="shared" si="3"/>
        <v>0</v>
      </c>
      <c r="DY13" s="85">
        <f t="shared" si="3"/>
        <v>0</v>
      </c>
      <c r="DZ13" s="85">
        <f t="shared" si="3"/>
        <v>0</v>
      </c>
      <c r="EA13" s="85">
        <f aca="true" t="shared" si="4" ref="EA13:GL13">SUM(EA14+EA20+EA21)</f>
        <v>0</v>
      </c>
      <c r="EB13" s="85">
        <f t="shared" si="4"/>
        <v>0</v>
      </c>
      <c r="EC13" s="85">
        <f t="shared" si="4"/>
        <v>0</v>
      </c>
      <c r="ED13" s="85">
        <f t="shared" si="4"/>
        <v>0</v>
      </c>
      <c r="EE13" s="85">
        <f t="shared" si="4"/>
        <v>0</v>
      </c>
      <c r="EF13" s="85">
        <f t="shared" si="4"/>
        <v>0</v>
      </c>
      <c r="EG13" s="85">
        <f t="shared" si="4"/>
        <v>0</v>
      </c>
      <c r="EH13" s="85">
        <f t="shared" si="4"/>
        <v>0</v>
      </c>
      <c r="EI13" s="85">
        <f t="shared" si="4"/>
        <v>0</v>
      </c>
      <c r="EJ13" s="85">
        <f t="shared" si="4"/>
        <v>0</v>
      </c>
      <c r="EK13" s="85">
        <f t="shared" si="4"/>
        <v>0</v>
      </c>
      <c r="EL13" s="85">
        <f t="shared" si="4"/>
        <v>0</v>
      </c>
      <c r="EM13" s="85">
        <f t="shared" si="4"/>
        <v>0</v>
      </c>
      <c r="EN13" s="85">
        <f t="shared" si="4"/>
        <v>0</v>
      </c>
      <c r="EO13" s="85">
        <f t="shared" si="4"/>
        <v>0</v>
      </c>
      <c r="EP13" s="85">
        <f t="shared" si="4"/>
        <v>0</v>
      </c>
      <c r="EQ13" s="85">
        <f t="shared" si="4"/>
        <v>0</v>
      </c>
      <c r="ER13" s="85">
        <f t="shared" si="4"/>
        <v>0</v>
      </c>
      <c r="ES13" s="85">
        <f t="shared" si="4"/>
        <v>0</v>
      </c>
      <c r="ET13" s="85">
        <f t="shared" si="4"/>
        <v>0</v>
      </c>
      <c r="EU13" s="85">
        <f t="shared" si="4"/>
        <v>0</v>
      </c>
      <c r="EV13" s="85">
        <f t="shared" si="4"/>
        <v>0</v>
      </c>
      <c r="EW13" s="85">
        <f t="shared" si="4"/>
        <v>0</v>
      </c>
      <c r="EX13" s="85">
        <f t="shared" si="4"/>
        <v>0</v>
      </c>
      <c r="EY13" s="85">
        <f t="shared" si="4"/>
        <v>0</v>
      </c>
      <c r="EZ13" s="85">
        <f t="shared" si="4"/>
        <v>0</v>
      </c>
      <c r="FA13" s="85">
        <f t="shared" si="4"/>
        <v>0</v>
      </c>
      <c r="FB13" s="85">
        <f t="shared" si="4"/>
        <v>0</v>
      </c>
      <c r="FC13" s="85">
        <f t="shared" si="4"/>
        <v>0</v>
      </c>
      <c r="FD13" s="85">
        <f t="shared" si="4"/>
        <v>0</v>
      </c>
      <c r="FE13" s="85">
        <f t="shared" si="4"/>
        <v>0</v>
      </c>
      <c r="FF13" s="85">
        <f t="shared" si="4"/>
        <v>0</v>
      </c>
      <c r="FG13" s="85">
        <f t="shared" si="4"/>
        <v>0</v>
      </c>
      <c r="FH13" s="85">
        <f t="shared" si="4"/>
        <v>0</v>
      </c>
      <c r="FI13" s="85">
        <f t="shared" si="4"/>
        <v>0</v>
      </c>
      <c r="FJ13" s="85">
        <f t="shared" si="4"/>
        <v>0</v>
      </c>
      <c r="FK13" s="85">
        <f t="shared" si="4"/>
        <v>0</v>
      </c>
      <c r="FL13" s="85">
        <f t="shared" si="4"/>
        <v>0</v>
      </c>
      <c r="FM13" s="85">
        <f t="shared" si="4"/>
        <v>0</v>
      </c>
      <c r="FN13" s="85">
        <f t="shared" si="4"/>
        <v>0</v>
      </c>
      <c r="FO13" s="85">
        <f t="shared" si="4"/>
        <v>0</v>
      </c>
      <c r="FP13" s="85">
        <f t="shared" si="4"/>
        <v>0</v>
      </c>
      <c r="FQ13" s="85">
        <f t="shared" si="4"/>
        <v>0</v>
      </c>
      <c r="FR13" s="85">
        <f t="shared" si="4"/>
        <v>0</v>
      </c>
      <c r="FS13" s="85">
        <f t="shared" si="4"/>
        <v>0</v>
      </c>
      <c r="FT13" s="85">
        <f t="shared" si="4"/>
        <v>0</v>
      </c>
      <c r="FU13" s="85">
        <f t="shared" si="4"/>
        <v>0</v>
      </c>
      <c r="FV13" s="85">
        <f t="shared" si="4"/>
        <v>0</v>
      </c>
      <c r="FW13" s="85">
        <f t="shared" si="4"/>
        <v>0</v>
      </c>
      <c r="FX13" s="85">
        <f t="shared" si="4"/>
        <v>0</v>
      </c>
      <c r="FY13" s="85">
        <f t="shared" si="4"/>
        <v>0</v>
      </c>
      <c r="FZ13" s="85">
        <f t="shared" si="4"/>
        <v>0</v>
      </c>
      <c r="GA13" s="85">
        <f t="shared" si="4"/>
        <v>0</v>
      </c>
      <c r="GB13" s="85">
        <f t="shared" si="4"/>
        <v>0</v>
      </c>
      <c r="GC13" s="85">
        <f t="shared" si="4"/>
        <v>0</v>
      </c>
      <c r="GD13" s="85">
        <f t="shared" si="4"/>
        <v>0</v>
      </c>
      <c r="GE13" s="85">
        <f t="shared" si="4"/>
        <v>0</v>
      </c>
      <c r="GF13" s="85">
        <f t="shared" si="4"/>
        <v>0</v>
      </c>
      <c r="GG13" s="85">
        <f t="shared" si="4"/>
        <v>0</v>
      </c>
      <c r="GH13" s="85">
        <f t="shared" si="4"/>
        <v>0</v>
      </c>
      <c r="GI13" s="85">
        <f t="shared" si="4"/>
        <v>0</v>
      </c>
      <c r="GJ13" s="85">
        <f t="shared" si="4"/>
        <v>0</v>
      </c>
      <c r="GK13" s="85">
        <f t="shared" si="4"/>
        <v>0</v>
      </c>
      <c r="GL13" s="85">
        <f t="shared" si="4"/>
        <v>0</v>
      </c>
      <c r="GM13" s="85">
        <f aca="true" t="shared" si="5" ref="GM13:IV13">SUM(GM14+GM20+GM21)</f>
        <v>0</v>
      </c>
      <c r="GN13" s="85">
        <f t="shared" si="5"/>
        <v>0</v>
      </c>
      <c r="GO13" s="85">
        <f t="shared" si="5"/>
        <v>0</v>
      </c>
      <c r="GP13" s="85">
        <f t="shared" si="5"/>
        <v>0</v>
      </c>
      <c r="GQ13" s="85">
        <f t="shared" si="5"/>
        <v>0</v>
      </c>
      <c r="GR13" s="85">
        <f t="shared" si="5"/>
        <v>0</v>
      </c>
      <c r="GS13" s="85">
        <f t="shared" si="5"/>
        <v>0</v>
      </c>
      <c r="GT13" s="85">
        <f t="shared" si="5"/>
        <v>0</v>
      </c>
      <c r="GU13" s="85">
        <f t="shared" si="5"/>
        <v>0</v>
      </c>
      <c r="GV13" s="85">
        <f t="shared" si="5"/>
        <v>0</v>
      </c>
      <c r="GW13" s="85">
        <f t="shared" si="5"/>
        <v>0</v>
      </c>
      <c r="GX13" s="85">
        <f t="shared" si="5"/>
        <v>0</v>
      </c>
      <c r="GY13" s="85">
        <f t="shared" si="5"/>
        <v>0</v>
      </c>
      <c r="GZ13" s="85">
        <f t="shared" si="5"/>
        <v>0</v>
      </c>
      <c r="HA13" s="85">
        <f t="shared" si="5"/>
        <v>0</v>
      </c>
      <c r="HB13" s="85">
        <f t="shared" si="5"/>
        <v>0</v>
      </c>
      <c r="HC13" s="85">
        <f t="shared" si="5"/>
        <v>0</v>
      </c>
      <c r="HD13" s="85">
        <f t="shared" si="5"/>
        <v>0</v>
      </c>
      <c r="HE13" s="85">
        <f t="shared" si="5"/>
        <v>0</v>
      </c>
      <c r="HF13" s="85">
        <f t="shared" si="5"/>
        <v>0</v>
      </c>
      <c r="HG13" s="85">
        <f t="shared" si="5"/>
        <v>0</v>
      </c>
      <c r="HH13" s="85">
        <f t="shared" si="5"/>
        <v>0</v>
      </c>
      <c r="HI13" s="85">
        <f t="shared" si="5"/>
        <v>0</v>
      </c>
      <c r="HJ13" s="85">
        <f t="shared" si="5"/>
        <v>0</v>
      </c>
      <c r="HK13" s="85">
        <f t="shared" si="5"/>
        <v>0</v>
      </c>
      <c r="HL13" s="85">
        <f t="shared" si="5"/>
        <v>0</v>
      </c>
      <c r="HM13" s="85">
        <f t="shared" si="5"/>
        <v>0</v>
      </c>
      <c r="HN13" s="85">
        <f t="shared" si="5"/>
        <v>0</v>
      </c>
      <c r="HO13" s="85">
        <f t="shared" si="5"/>
        <v>0</v>
      </c>
      <c r="HP13" s="85">
        <f t="shared" si="5"/>
        <v>0</v>
      </c>
      <c r="HQ13" s="85">
        <f t="shared" si="5"/>
        <v>0</v>
      </c>
      <c r="HR13" s="85">
        <f t="shared" si="5"/>
        <v>0</v>
      </c>
      <c r="HS13" s="85">
        <f t="shared" si="5"/>
        <v>0</v>
      </c>
      <c r="HT13" s="85">
        <f t="shared" si="5"/>
        <v>0</v>
      </c>
      <c r="HU13" s="85">
        <f t="shared" si="5"/>
        <v>0</v>
      </c>
      <c r="HV13" s="85">
        <f t="shared" si="5"/>
        <v>0</v>
      </c>
      <c r="HW13" s="85">
        <f t="shared" si="5"/>
        <v>0</v>
      </c>
      <c r="HX13" s="85">
        <f t="shared" si="5"/>
        <v>0</v>
      </c>
      <c r="HY13" s="85">
        <f t="shared" si="5"/>
        <v>0</v>
      </c>
      <c r="HZ13" s="85">
        <f t="shared" si="5"/>
        <v>0</v>
      </c>
      <c r="IA13" s="85">
        <f t="shared" si="5"/>
        <v>0</v>
      </c>
      <c r="IB13" s="85">
        <f t="shared" si="5"/>
        <v>0</v>
      </c>
      <c r="IC13" s="85">
        <f t="shared" si="5"/>
        <v>0</v>
      </c>
      <c r="ID13" s="85">
        <f t="shared" si="5"/>
        <v>0</v>
      </c>
      <c r="IE13" s="85">
        <f t="shared" si="5"/>
        <v>0</v>
      </c>
      <c r="IF13" s="85">
        <f t="shared" si="5"/>
        <v>0</v>
      </c>
      <c r="IG13" s="85">
        <f t="shared" si="5"/>
        <v>0</v>
      </c>
      <c r="IH13" s="85">
        <f t="shared" si="5"/>
        <v>0</v>
      </c>
      <c r="II13" s="85">
        <f t="shared" si="5"/>
        <v>0</v>
      </c>
      <c r="IJ13" s="85">
        <f t="shared" si="5"/>
        <v>0</v>
      </c>
      <c r="IK13" s="85">
        <f t="shared" si="5"/>
        <v>0</v>
      </c>
      <c r="IL13" s="85">
        <f t="shared" si="5"/>
        <v>0</v>
      </c>
      <c r="IM13" s="85">
        <f t="shared" si="5"/>
        <v>0</v>
      </c>
      <c r="IN13" s="85">
        <f t="shared" si="5"/>
        <v>0</v>
      </c>
      <c r="IO13" s="85">
        <f t="shared" si="5"/>
        <v>0</v>
      </c>
      <c r="IP13" s="85">
        <f t="shared" si="5"/>
        <v>0</v>
      </c>
      <c r="IQ13" s="85">
        <f t="shared" si="5"/>
        <v>0</v>
      </c>
      <c r="IR13" s="85">
        <f t="shared" si="5"/>
        <v>0</v>
      </c>
      <c r="IS13" s="85">
        <f t="shared" si="5"/>
        <v>0</v>
      </c>
      <c r="IT13" s="85">
        <f t="shared" si="5"/>
        <v>0</v>
      </c>
      <c r="IU13" s="85">
        <f t="shared" si="5"/>
        <v>0</v>
      </c>
      <c r="IV13" s="85">
        <f t="shared" si="5"/>
        <v>0</v>
      </c>
    </row>
    <row r="14" spans="1:256" ht="15">
      <c r="A14" s="67" t="s">
        <v>137</v>
      </c>
      <c r="B14" s="85">
        <f>SUM(B15:B19)</f>
        <v>2336915636.16</v>
      </c>
      <c r="C14" s="85">
        <f aca="true" t="shared" si="6" ref="C14:BN14">SUM(C15:C19)</f>
        <v>0</v>
      </c>
      <c r="D14" s="85">
        <f t="shared" si="6"/>
        <v>17949700.59</v>
      </c>
      <c r="E14" s="85">
        <f t="shared" si="6"/>
        <v>0</v>
      </c>
      <c r="F14" s="85">
        <f t="shared" si="6"/>
        <v>2318965935.57</v>
      </c>
      <c r="G14" s="85">
        <f t="shared" si="6"/>
        <v>88182630.57</v>
      </c>
      <c r="H14" s="85">
        <f t="shared" si="6"/>
        <v>0</v>
      </c>
      <c r="I14" s="85">
        <f t="shared" si="6"/>
        <v>0</v>
      </c>
      <c r="J14" s="85">
        <f t="shared" si="6"/>
        <v>0</v>
      </c>
      <c r="K14" s="85">
        <f t="shared" si="6"/>
        <v>0</v>
      </c>
      <c r="L14" s="85">
        <f t="shared" si="6"/>
        <v>0</v>
      </c>
      <c r="M14" s="85">
        <f t="shared" si="6"/>
        <v>0</v>
      </c>
      <c r="N14" s="85">
        <f t="shared" si="6"/>
        <v>0</v>
      </c>
      <c r="O14" s="85">
        <f t="shared" si="6"/>
        <v>0</v>
      </c>
      <c r="P14" s="85">
        <f t="shared" si="6"/>
        <v>0</v>
      </c>
      <c r="Q14" s="85">
        <f t="shared" si="6"/>
        <v>0</v>
      </c>
      <c r="R14" s="85">
        <f t="shared" si="6"/>
        <v>0</v>
      </c>
      <c r="S14" s="85">
        <f t="shared" si="6"/>
        <v>0</v>
      </c>
      <c r="T14" s="85">
        <f t="shared" si="6"/>
        <v>0</v>
      </c>
      <c r="U14" s="85">
        <f t="shared" si="6"/>
        <v>0</v>
      </c>
      <c r="V14" s="85">
        <f t="shared" si="6"/>
        <v>0</v>
      </c>
      <c r="W14" s="85">
        <f t="shared" si="6"/>
        <v>0</v>
      </c>
      <c r="X14" s="85">
        <f t="shared" si="6"/>
        <v>0</v>
      </c>
      <c r="Y14" s="85">
        <f t="shared" si="6"/>
        <v>0</v>
      </c>
      <c r="Z14" s="85">
        <f t="shared" si="6"/>
        <v>0</v>
      </c>
      <c r="AA14" s="85">
        <f t="shared" si="6"/>
        <v>0</v>
      </c>
      <c r="AB14" s="85">
        <f t="shared" si="6"/>
        <v>0</v>
      </c>
      <c r="AC14" s="85">
        <f t="shared" si="6"/>
        <v>0</v>
      </c>
      <c r="AD14" s="85">
        <f t="shared" si="6"/>
        <v>0</v>
      </c>
      <c r="AE14" s="85">
        <f t="shared" si="6"/>
        <v>0</v>
      </c>
      <c r="AF14" s="85">
        <f t="shared" si="6"/>
        <v>0</v>
      </c>
      <c r="AG14" s="85">
        <f t="shared" si="6"/>
        <v>0</v>
      </c>
      <c r="AH14" s="85">
        <f t="shared" si="6"/>
        <v>0</v>
      </c>
      <c r="AI14" s="85">
        <f t="shared" si="6"/>
        <v>0</v>
      </c>
      <c r="AJ14" s="85">
        <f t="shared" si="6"/>
        <v>0</v>
      </c>
      <c r="AK14" s="85">
        <f t="shared" si="6"/>
        <v>0</v>
      </c>
      <c r="AL14" s="85">
        <f t="shared" si="6"/>
        <v>0</v>
      </c>
      <c r="AM14" s="85">
        <f t="shared" si="6"/>
        <v>0</v>
      </c>
      <c r="AN14" s="85">
        <f t="shared" si="6"/>
        <v>0</v>
      </c>
      <c r="AO14" s="85">
        <f t="shared" si="6"/>
        <v>0</v>
      </c>
      <c r="AP14" s="85">
        <f t="shared" si="6"/>
        <v>0</v>
      </c>
      <c r="AQ14" s="85">
        <f t="shared" si="6"/>
        <v>0</v>
      </c>
      <c r="AR14" s="85">
        <f t="shared" si="6"/>
        <v>0</v>
      </c>
      <c r="AS14" s="85">
        <f t="shared" si="6"/>
        <v>0</v>
      </c>
      <c r="AT14" s="85">
        <f t="shared" si="6"/>
        <v>0</v>
      </c>
      <c r="AU14" s="85">
        <f t="shared" si="6"/>
        <v>0</v>
      </c>
      <c r="AV14" s="85">
        <f t="shared" si="6"/>
        <v>0</v>
      </c>
      <c r="AW14" s="85">
        <f t="shared" si="6"/>
        <v>0</v>
      </c>
      <c r="AX14" s="85">
        <f t="shared" si="6"/>
        <v>0</v>
      </c>
      <c r="AY14" s="85">
        <f t="shared" si="6"/>
        <v>0</v>
      </c>
      <c r="AZ14" s="85">
        <f t="shared" si="6"/>
        <v>0</v>
      </c>
      <c r="BA14" s="85">
        <f t="shared" si="6"/>
        <v>0</v>
      </c>
      <c r="BB14" s="85">
        <f t="shared" si="6"/>
        <v>0</v>
      </c>
      <c r="BC14" s="85">
        <f t="shared" si="6"/>
        <v>0</v>
      </c>
      <c r="BD14" s="85">
        <f t="shared" si="6"/>
        <v>0</v>
      </c>
      <c r="BE14" s="85">
        <f t="shared" si="6"/>
        <v>0</v>
      </c>
      <c r="BF14" s="85">
        <f t="shared" si="6"/>
        <v>0</v>
      </c>
      <c r="BG14" s="85">
        <f t="shared" si="6"/>
        <v>0</v>
      </c>
      <c r="BH14" s="85">
        <f t="shared" si="6"/>
        <v>0</v>
      </c>
      <c r="BI14" s="85">
        <f t="shared" si="6"/>
        <v>0</v>
      </c>
      <c r="BJ14" s="85">
        <f t="shared" si="6"/>
        <v>0</v>
      </c>
      <c r="BK14" s="85">
        <f t="shared" si="6"/>
        <v>0</v>
      </c>
      <c r="BL14" s="85">
        <f t="shared" si="6"/>
        <v>0</v>
      </c>
      <c r="BM14" s="85">
        <f t="shared" si="6"/>
        <v>0</v>
      </c>
      <c r="BN14" s="85">
        <f t="shared" si="6"/>
        <v>0</v>
      </c>
      <c r="BO14" s="85">
        <f aca="true" t="shared" si="7" ref="BO14:DZ14">SUM(BO15:BO19)</f>
        <v>0</v>
      </c>
      <c r="BP14" s="85">
        <f t="shared" si="7"/>
        <v>0</v>
      </c>
      <c r="BQ14" s="85">
        <f t="shared" si="7"/>
        <v>0</v>
      </c>
      <c r="BR14" s="85">
        <f t="shared" si="7"/>
        <v>0</v>
      </c>
      <c r="BS14" s="85">
        <f t="shared" si="7"/>
        <v>0</v>
      </c>
      <c r="BT14" s="85">
        <f t="shared" si="7"/>
        <v>0</v>
      </c>
      <c r="BU14" s="85">
        <f t="shared" si="7"/>
        <v>0</v>
      </c>
      <c r="BV14" s="85">
        <f t="shared" si="7"/>
        <v>0</v>
      </c>
      <c r="BW14" s="85">
        <f t="shared" si="7"/>
        <v>0</v>
      </c>
      <c r="BX14" s="85">
        <f t="shared" si="7"/>
        <v>0</v>
      </c>
      <c r="BY14" s="85">
        <f t="shared" si="7"/>
        <v>0</v>
      </c>
      <c r="BZ14" s="85">
        <f t="shared" si="7"/>
        <v>0</v>
      </c>
      <c r="CA14" s="85">
        <f t="shared" si="7"/>
        <v>0</v>
      </c>
      <c r="CB14" s="85">
        <f t="shared" si="7"/>
        <v>0</v>
      </c>
      <c r="CC14" s="85">
        <f t="shared" si="7"/>
        <v>0</v>
      </c>
      <c r="CD14" s="85">
        <f t="shared" si="7"/>
        <v>0</v>
      </c>
      <c r="CE14" s="85">
        <f t="shared" si="7"/>
        <v>0</v>
      </c>
      <c r="CF14" s="85">
        <f t="shared" si="7"/>
        <v>0</v>
      </c>
      <c r="CG14" s="85">
        <f t="shared" si="7"/>
        <v>0</v>
      </c>
      <c r="CH14" s="85">
        <f t="shared" si="7"/>
        <v>0</v>
      </c>
      <c r="CI14" s="85">
        <f t="shared" si="7"/>
        <v>0</v>
      </c>
      <c r="CJ14" s="85">
        <f t="shared" si="7"/>
        <v>0</v>
      </c>
      <c r="CK14" s="85">
        <f t="shared" si="7"/>
        <v>0</v>
      </c>
      <c r="CL14" s="85">
        <f t="shared" si="7"/>
        <v>0</v>
      </c>
      <c r="CM14" s="85">
        <f t="shared" si="7"/>
        <v>0</v>
      </c>
      <c r="CN14" s="85">
        <f t="shared" si="7"/>
        <v>0</v>
      </c>
      <c r="CO14" s="85">
        <f t="shared" si="7"/>
        <v>0</v>
      </c>
      <c r="CP14" s="85">
        <f t="shared" si="7"/>
        <v>0</v>
      </c>
      <c r="CQ14" s="85">
        <f t="shared" si="7"/>
        <v>0</v>
      </c>
      <c r="CR14" s="85">
        <f t="shared" si="7"/>
        <v>0</v>
      </c>
      <c r="CS14" s="85">
        <f t="shared" si="7"/>
        <v>0</v>
      </c>
      <c r="CT14" s="85">
        <f t="shared" si="7"/>
        <v>0</v>
      </c>
      <c r="CU14" s="85">
        <f t="shared" si="7"/>
        <v>0</v>
      </c>
      <c r="CV14" s="85">
        <f t="shared" si="7"/>
        <v>0</v>
      </c>
      <c r="CW14" s="85">
        <f t="shared" si="7"/>
        <v>0</v>
      </c>
      <c r="CX14" s="85">
        <f t="shared" si="7"/>
        <v>0</v>
      </c>
      <c r="CY14" s="85">
        <f t="shared" si="7"/>
        <v>0</v>
      </c>
      <c r="CZ14" s="85">
        <f t="shared" si="7"/>
        <v>0</v>
      </c>
      <c r="DA14" s="85">
        <f t="shared" si="7"/>
        <v>0</v>
      </c>
      <c r="DB14" s="85">
        <f t="shared" si="7"/>
        <v>0</v>
      </c>
      <c r="DC14" s="85">
        <f t="shared" si="7"/>
        <v>0</v>
      </c>
      <c r="DD14" s="85">
        <f t="shared" si="7"/>
        <v>0</v>
      </c>
      <c r="DE14" s="85">
        <f t="shared" si="7"/>
        <v>0</v>
      </c>
      <c r="DF14" s="85">
        <f t="shared" si="7"/>
        <v>0</v>
      </c>
      <c r="DG14" s="85">
        <f t="shared" si="7"/>
        <v>0</v>
      </c>
      <c r="DH14" s="85">
        <f t="shared" si="7"/>
        <v>0</v>
      </c>
      <c r="DI14" s="85">
        <f t="shared" si="7"/>
        <v>0</v>
      </c>
      <c r="DJ14" s="85">
        <f t="shared" si="7"/>
        <v>0</v>
      </c>
      <c r="DK14" s="85">
        <f t="shared" si="7"/>
        <v>0</v>
      </c>
      <c r="DL14" s="85">
        <f t="shared" si="7"/>
        <v>0</v>
      </c>
      <c r="DM14" s="85">
        <f t="shared" si="7"/>
        <v>0</v>
      </c>
      <c r="DN14" s="85">
        <f t="shared" si="7"/>
        <v>0</v>
      </c>
      <c r="DO14" s="85">
        <f t="shared" si="7"/>
        <v>0</v>
      </c>
      <c r="DP14" s="85">
        <f t="shared" si="7"/>
        <v>0</v>
      </c>
      <c r="DQ14" s="85">
        <f t="shared" si="7"/>
        <v>0</v>
      </c>
      <c r="DR14" s="85">
        <f t="shared" si="7"/>
        <v>0</v>
      </c>
      <c r="DS14" s="85">
        <f t="shared" si="7"/>
        <v>0</v>
      </c>
      <c r="DT14" s="85">
        <f t="shared" si="7"/>
        <v>0</v>
      </c>
      <c r="DU14" s="85">
        <f t="shared" si="7"/>
        <v>0</v>
      </c>
      <c r="DV14" s="85">
        <f t="shared" si="7"/>
        <v>0</v>
      </c>
      <c r="DW14" s="85">
        <f t="shared" si="7"/>
        <v>0</v>
      </c>
      <c r="DX14" s="85">
        <f t="shared" si="7"/>
        <v>0</v>
      </c>
      <c r="DY14" s="85">
        <f t="shared" si="7"/>
        <v>0</v>
      </c>
      <c r="DZ14" s="85">
        <f t="shared" si="7"/>
        <v>0</v>
      </c>
      <c r="EA14" s="85">
        <f aca="true" t="shared" si="8" ref="EA14:GL14">SUM(EA15:EA19)</f>
        <v>0</v>
      </c>
      <c r="EB14" s="85">
        <f t="shared" si="8"/>
        <v>0</v>
      </c>
      <c r="EC14" s="85">
        <f t="shared" si="8"/>
        <v>0</v>
      </c>
      <c r="ED14" s="85">
        <f t="shared" si="8"/>
        <v>0</v>
      </c>
      <c r="EE14" s="85">
        <f t="shared" si="8"/>
        <v>0</v>
      </c>
      <c r="EF14" s="85">
        <f t="shared" si="8"/>
        <v>0</v>
      </c>
      <c r="EG14" s="85">
        <f t="shared" si="8"/>
        <v>0</v>
      </c>
      <c r="EH14" s="85">
        <f t="shared" si="8"/>
        <v>0</v>
      </c>
      <c r="EI14" s="85">
        <f t="shared" si="8"/>
        <v>0</v>
      </c>
      <c r="EJ14" s="85">
        <f t="shared" si="8"/>
        <v>0</v>
      </c>
      <c r="EK14" s="85">
        <f t="shared" si="8"/>
        <v>0</v>
      </c>
      <c r="EL14" s="85">
        <f t="shared" si="8"/>
        <v>0</v>
      </c>
      <c r="EM14" s="85">
        <f t="shared" si="8"/>
        <v>0</v>
      </c>
      <c r="EN14" s="85">
        <f t="shared" si="8"/>
        <v>0</v>
      </c>
      <c r="EO14" s="85">
        <f t="shared" si="8"/>
        <v>0</v>
      </c>
      <c r="EP14" s="85">
        <f t="shared" si="8"/>
        <v>0</v>
      </c>
      <c r="EQ14" s="85">
        <f t="shared" si="8"/>
        <v>0</v>
      </c>
      <c r="ER14" s="85">
        <f t="shared" si="8"/>
        <v>0</v>
      </c>
      <c r="ES14" s="85">
        <f t="shared" si="8"/>
        <v>0</v>
      </c>
      <c r="ET14" s="85">
        <f t="shared" si="8"/>
        <v>0</v>
      </c>
      <c r="EU14" s="85">
        <f t="shared" si="8"/>
        <v>0</v>
      </c>
      <c r="EV14" s="85">
        <f t="shared" si="8"/>
        <v>0</v>
      </c>
      <c r="EW14" s="85">
        <f t="shared" si="8"/>
        <v>0</v>
      </c>
      <c r="EX14" s="85">
        <f t="shared" si="8"/>
        <v>0</v>
      </c>
      <c r="EY14" s="85">
        <f t="shared" si="8"/>
        <v>0</v>
      </c>
      <c r="EZ14" s="85">
        <f t="shared" si="8"/>
        <v>0</v>
      </c>
      <c r="FA14" s="85">
        <f t="shared" si="8"/>
        <v>0</v>
      </c>
      <c r="FB14" s="85">
        <f t="shared" si="8"/>
        <v>0</v>
      </c>
      <c r="FC14" s="85">
        <f t="shared" si="8"/>
        <v>0</v>
      </c>
      <c r="FD14" s="85">
        <f t="shared" si="8"/>
        <v>0</v>
      </c>
      <c r="FE14" s="85">
        <f t="shared" si="8"/>
        <v>0</v>
      </c>
      <c r="FF14" s="85">
        <f t="shared" si="8"/>
        <v>0</v>
      </c>
      <c r="FG14" s="85">
        <f t="shared" si="8"/>
        <v>0</v>
      </c>
      <c r="FH14" s="85">
        <f t="shared" si="8"/>
        <v>0</v>
      </c>
      <c r="FI14" s="85">
        <f t="shared" si="8"/>
        <v>0</v>
      </c>
      <c r="FJ14" s="85">
        <f t="shared" si="8"/>
        <v>0</v>
      </c>
      <c r="FK14" s="85">
        <f t="shared" si="8"/>
        <v>0</v>
      </c>
      <c r="FL14" s="85">
        <f t="shared" si="8"/>
        <v>0</v>
      </c>
      <c r="FM14" s="85">
        <f t="shared" si="8"/>
        <v>0</v>
      </c>
      <c r="FN14" s="85">
        <f t="shared" si="8"/>
        <v>0</v>
      </c>
      <c r="FO14" s="85">
        <f t="shared" si="8"/>
        <v>0</v>
      </c>
      <c r="FP14" s="85">
        <f t="shared" si="8"/>
        <v>0</v>
      </c>
      <c r="FQ14" s="85">
        <f t="shared" si="8"/>
        <v>0</v>
      </c>
      <c r="FR14" s="85">
        <f t="shared" si="8"/>
        <v>0</v>
      </c>
      <c r="FS14" s="85">
        <f t="shared" si="8"/>
        <v>0</v>
      </c>
      <c r="FT14" s="85">
        <f t="shared" si="8"/>
        <v>0</v>
      </c>
      <c r="FU14" s="85">
        <f t="shared" si="8"/>
        <v>0</v>
      </c>
      <c r="FV14" s="85">
        <f t="shared" si="8"/>
        <v>0</v>
      </c>
      <c r="FW14" s="85">
        <f t="shared" si="8"/>
        <v>0</v>
      </c>
      <c r="FX14" s="85">
        <f t="shared" si="8"/>
        <v>0</v>
      </c>
      <c r="FY14" s="85">
        <f t="shared" si="8"/>
        <v>0</v>
      </c>
      <c r="FZ14" s="85">
        <f t="shared" si="8"/>
        <v>0</v>
      </c>
      <c r="GA14" s="85">
        <f t="shared" si="8"/>
        <v>0</v>
      </c>
      <c r="GB14" s="85">
        <f t="shared" si="8"/>
        <v>0</v>
      </c>
      <c r="GC14" s="85">
        <f t="shared" si="8"/>
        <v>0</v>
      </c>
      <c r="GD14" s="85">
        <f t="shared" si="8"/>
        <v>0</v>
      </c>
      <c r="GE14" s="85">
        <f t="shared" si="8"/>
        <v>0</v>
      </c>
      <c r="GF14" s="85">
        <f t="shared" si="8"/>
        <v>0</v>
      </c>
      <c r="GG14" s="85">
        <f t="shared" si="8"/>
        <v>0</v>
      </c>
      <c r="GH14" s="85">
        <f t="shared" si="8"/>
        <v>0</v>
      </c>
      <c r="GI14" s="85">
        <f t="shared" si="8"/>
        <v>0</v>
      </c>
      <c r="GJ14" s="85">
        <f t="shared" si="8"/>
        <v>0</v>
      </c>
      <c r="GK14" s="85">
        <f t="shared" si="8"/>
        <v>0</v>
      </c>
      <c r="GL14" s="85">
        <f t="shared" si="8"/>
        <v>0</v>
      </c>
      <c r="GM14" s="85">
        <f aca="true" t="shared" si="9" ref="GM14:IV14">SUM(GM15:GM19)</f>
        <v>0</v>
      </c>
      <c r="GN14" s="85">
        <f t="shared" si="9"/>
        <v>0</v>
      </c>
      <c r="GO14" s="85">
        <f t="shared" si="9"/>
        <v>0</v>
      </c>
      <c r="GP14" s="85">
        <f t="shared" si="9"/>
        <v>0</v>
      </c>
      <c r="GQ14" s="85">
        <f t="shared" si="9"/>
        <v>0</v>
      </c>
      <c r="GR14" s="85">
        <f t="shared" si="9"/>
        <v>0</v>
      </c>
      <c r="GS14" s="85">
        <f t="shared" si="9"/>
        <v>0</v>
      </c>
      <c r="GT14" s="85">
        <f t="shared" si="9"/>
        <v>0</v>
      </c>
      <c r="GU14" s="85">
        <f t="shared" si="9"/>
        <v>0</v>
      </c>
      <c r="GV14" s="85">
        <f t="shared" si="9"/>
        <v>0</v>
      </c>
      <c r="GW14" s="85">
        <f t="shared" si="9"/>
        <v>0</v>
      </c>
      <c r="GX14" s="85">
        <f t="shared" si="9"/>
        <v>0</v>
      </c>
      <c r="GY14" s="85">
        <f t="shared" si="9"/>
        <v>0</v>
      </c>
      <c r="GZ14" s="85">
        <f t="shared" si="9"/>
        <v>0</v>
      </c>
      <c r="HA14" s="85">
        <f t="shared" si="9"/>
        <v>0</v>
      </c>
      <c r="HB14" s="85">
        <f t="shared" si="9"/>
        <v>0</v>
      </c>
      <c r="HC14" s="85">
        <f t="shared" si="9"/>
        <v>0</v>
      </c>
      <c r="HD14" s="85">
        <f t="shared" si="9"/>
        <v>0</v>
      </c>
      <c r="HE14" s="85">
        <f t="shared" si="9"/>
        <v>0</v>
      </c>
      <c r="HF14" s="85">
        <f t="shared" si="9"/>
        <v>0</v>
      </c>
      <c r="HG14" s="85">
        <f t="shared" si="9"/>
        <v>0</v>
      </c>
      <c r="HH14" s="85">
        <f t="shared" si="9"/>
        <v>0</v>
      </c>
      <c r="HI14" s="85">
        <f t="shared" si="9"/>
        <v>0</v>
      </c>
      <c r="HJ14" s="85">
        <f t="shared" si="9"/>
        <v>0</v>
      </c>
      <c r="HK14" s="85">
        <f t="shared" si="9"/>
        <v>0</v>
      </c>
      <c r="HL14" s="85">
        <f t="shared" si="9"/>
        <v>0</v>
      </c>
      <c r="HM14" s="85">
        <f t="shared" si="9"/>
        <v>0</v>
      </c>
      <c r="HN14" s="85">
        <f t="shared" si="9"/>
        <v>0</v>
      </c>
      <c r="HO14" s="85">
        <f t="shared" si="9"/>
        <v>0</v>
      </c>
      <c r="HP14" s="85">
        <f t="shared" si="9"/>
        <v>0</v>
      </c>
      <c r="HQ14" s="85">
        <f t="shared" si="9"/>
        <v>0</v>
      </c>
      <c r="HR14" s="85">
        <f t="shared" si="9"/>
        <v>0</v>
      </c>
      <c r="HS14" s="85">
        <f t="shared" si="9"/>
        <v>0</v>
      </c>
      <c r="HT14" s="85">
        <f t="shared" si="9"/>
        <v>0</v>
      </c>
      <c r="HU14" s="85">
        <f t="shared" si="9"/>
        <v>0</v>
      </c>
      <c r="HV14" s="85">
        <f t="shared" si="9"/>
        <v>0</v>
      </c>
      <c r="HW14" s="85">
        <f t="shared" si="9"/>
        <v>0</v>
      </c>
      <c r="HX14" s="85">
        <f t="shared" si="9"/>
        <v>0</v>
      </c>
      <c r="HY14" s="85">
        <f t="shared" si="9"/>
        <v>0</v>
      </c>
      <c r="HZ14" s="85">
        <f t="shared" si="9"/>
        <v>0</v>
      </c>
      <c r="IA14" s="85">
        <f t="shared" si="9"/>
        <v>0</v>
      </c>
      <c r="IB14" s="85">
        <f t="shared" si="9"/>
        <v>0</v>
      </c>
      <c r="IC14" s="85">
        <f t="shared" si="9"/>
        <v>0</v>
      </c>
      <c r="ID14" s="85">
        <f t="shared" si="9"/>
        <v>0</v>
      </c>
      <c r="IE14" s="85">
        <f t="shared" si="9"/>
        <v>0</v>
      </c>
      <c r="IF14" s="85">
        <f t="shared" si="9"/>
        <v>0</v>
      </c>
      <c r="IG14" s="85">
        <f t="shared" si="9"/>
        <v>0</v>
      </c>
      <c r="IH14" s="85">
        <f t="shared" si="9"/>
        <v>0</v>
      </c>
      <c r="II14" s="85">
        <f t="shared" si="9"/>
        <v>0</v>
      </c>
      <c r="IJ14" s="85">
        <f t="shared" si="9"/>
        <v>0</v>
      </c>
      <c r="IK14" s="85">
        <f t="shared" si="9"/>
        <v>0</v>
      </c>
      <c r="IL14" s="85">
        <f t="shared" si="9"/>
        <v>0</v>
      </c>
      <c r="IM14" s="85">
        <f t="shared" si="9"/>
        <v>0</v>
      </c>
      <c r="IN14" s="85">
        <f t="shared" si="9"/>
        <v>0</v>
      </c>
      <c r="IO14" s="85">
        <f t="shared" si="9"/>
        <v>0</v>
      </c>
      <c r="IP14" s="85">
        <f t="shared" si="9"/>
        <v>0</v>
      </c>
      <c r="IQ14" s="85">
        <f t="shared" si="9"/>
        <v>0</v>
      </c>
      <c r="IR14" s="85">
        <f t="shared" si="9"/>
        <v>0</v>
      </c>
      <c r="IS14" s="85">
        <f t="shared" si="9"/>
        <v>0</v>
      </c>
      <c r="IT14" s="85">
        <f t="shared" si="9"/>
        <v>0</v>
      </c>
      <c r="IU14" s="85">
        <f t="shared" si="9"/>
        <v>0</v>
      </c>
      <c r="IV14" s="85">
        <f t="shared" si="9"/>
        <v>0</v>
      </c>
    </row>
    <row r="15" spans="1:8" ht="15">
      <c r="A15" s="118" t="s">
        <v>472</v>
      </c>
      <c r="B15" s="85">
        <v>493054950.31000006</v>
      </c>
      <c r="C15" s="85">
        <v>0</v>
      </c>
      <c r="D15" s="85">
        <v>6011325.01</v>
      </c>
      <c r="E15" s="85">
        <v>0</v>
      </c>
      <c r="F15" s="85">
        <f>+B15+C15-D15+E15</f>
        <v>487043625.3000001</v>
      </c>
      <c r="G15" s="85">
        <v>18524739.07</v>
      </c>
      <c r="H15" s="85">
        <v>0</v>
      </c>
    </row>
    <row r="16" spans="1:8" ht="15">
      <c r="A16" s="118" t="s">
        <v>472</v>
      </c>
      <c r="B16" s="85">
        <v>161418609.85000002</v>
      </c>
      <c r="C16" s="85">
        <v>0</v>
      </c>
      <c r="D16" s="85">
        <v>1845601.4399999997</v>
      </c>
      <c r="E16" s="85">
        <v>0</v>
      </c>
      <c r="F16" s="85">
        <f>+B16+C16-D16+E16</f>
        <v>159573008.41000003</v>
      </c>
      <c r="G16" s="85">
        <v>6082824.35</v>
      </c>
      <c r="H16" s="85">
        <v>0</v>
      </c>
    </row>
    <row r="17" spans="1:8" ht="15">
      <c r="A17" s="118" t="s">
        <v>472</v>
      </c>
      <c r="B17" s="85">
        <v>101000147.88000003</v>
      </c>
      <c r="C17" s="85">
        <v>0</v>
      </c>
      <c r="D17" s="85">
        <v>1154798.81</v>
      </c>
      <c r="E17" s="85">
        <v>0</v>
      </c>
      <c r="F17" s="85">
        <f>+B17+C17-D17+E17</f>
        <v>99845349.07000002</v>
      </c>
      <c r="G17" s="85">
        <v>3806038.8800000004</v>
      </c>
      <c r="H17" s="85">
        <v>0</v>
      </c>
    </row>
    <row r="18" spans="1:8" ht="15">
      <c r="A18" s="118" t="s">
        <v>473</v>
      </c>
      <c r="B18" s="85">
        <v>787156909.9599999</v>
      </c>
      <c r="C18" s="85">
        <v>0</v>
      </c>
      <c r="D18" s="85">
        <v>4572366.7700000005</v>
      </c>
      <c r="E18" s="85">
        <v>0</v>
      </c>
      <c r="F18" s="85">
        <f>+B18+C18-D18+E18</f>
        <v>782584543.1899999</v>
      </c>
      <c r="G18" s="85">
        <v>30007220.409999996</v>
      </c>
      <c r="H18" s="85">
        <v>0</v>
      </c>
    </row>
    <row r="19" spans="1:8" ht="15">
      <c r="A19" s="118" t="s">
        <v>474</v>
      </c>
      <c r="B19" s="85">
        <v>794285018.1600001</v>
      </c>
      <c r="C19" s="85">
        <v>0</v>
      </c>
      <c r="D19" s="85">
        <v>4365608.56</v>
      </c>
      <c r="E19" s="85">
        <v>0</v>
      </c>
      <c r="F19" s="85">
        <f>+B19+C19-D19+E19</f>
        <v>789919409.6000001</v>
      </c>
      <c r="G19" s="85">
        <v>29761807.860000003</v>
      </c>
      <c r="H19" s="85">
        <v>0</v>
      </c>
    </row>
    <row r="20" spans="1:8" ht="15">
      <c r="A20" s="67" t="s">
        <v>138</v>
      </c>
      <c r="B20" s="85">
        <v>0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</row>
    <row r="21" spans="1:8" ht="15">
      <c r="A21" s="67" t="s">
        <v>139</v>
      </c>
      <c r="B21" s="85">
        <v>0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</row>
    <row r="22" spans="1:8" ht="15">
      <c r="A22" s="34"/>
      <c r="B22" s="93"/>
      <c r="C22" s="93"/>
      <c r="D22" s="93"/>
      <c r="E22" s="93"/>
      <c r="F22" s="93"/>
      <c r="G22" s="93"/>
      <c r="H22" s="93"/>
    </row>
    <row r="23" spans="1:8" ht="15">
      <c r="A23" s="7" t="s">
        <v>140</v>
      </c>
      <c r="B23" s="94">
        <v>332377097.21999985</v>
      </c>
      <c r="C23" s="98"/>
      <c r="D23" s="98"/>
      <c r="E23" s="98"/>
      <c r="F23" s="94">
        <v>412375750.47000015</v>
      </c>
      <c r="G23" s="98"/>
      <c r="H23" s="98"/>
    </row>
    <row r="24" spans="1:8" ht="15">
      <c r="A24" s="34"/>
      <c r="B24" s="93"/>
      <c r="C24" s="93"/>
      <c r="D24" s="93"/>
      <c r="E24" s="93"/>
      <c r="F24" s="93"/>
      <c r="G24" s="93"/>
      <c r="H24" s="93"/>
    </row>
    <row r="25" spans="1:8" ht="15">
      <c r="A25" s="65" t="s">
        <v>141</v>
      </c>
      <c r="B25" s="87">
        <f>B8+B23</f>
        <v>2669292733.3799996</v>
      </c>
      <c r="C25" s="87">
        <f aca="true" t="shared" si="10" ref="C25:H25">C8+C23</f>
        <v>0</v>
      </c>
      <c r="D25" s="87">
        <f t="shared" si="10"/>
        <v>17949700.59</v>
      </c>
      <c r="E25" s="87">
        <f t="shared" si="10"/>
        <v>0</v>
      </c>
      <c r="F25" s="87">
        <f t="shared" si="10"/>
        <v>2731341686.0400004</v>
      </c>
      <c r="G25" s="87">
        <f t="shared" si="10"/>
        <v>88182630.57</v>
      </c>
      <c r="H25" s="87">
        <f t="shared" si="10"/>
        <v>0</v>
      </c>
    </row>
    <row r="26" spans="1:8" ht="15">
      <c r="A26" s="34"/>
      <c r="B26" s="86"/>
      <c r="C26" s="86"/>
      <c r="D26" s="86"/>
      <c r="E26" s="86"/>
      <c r="F26" s="86"/>
      <c r="G26" s="86"/>
      <c r="H26" s="86"/>
    </row>
    <row r="27" spans="1:8" ht="17.25">
      <c r="A27" s="65" t="s">
        <v>142</v>
      </c>
      <c r="B27" s="87">
        <f>SUM(B28:DEUDA_CONT_FIN_01)</f>
        <v>0</v>
      </c>
      <c r="C27" s="87">
        <f>SUM(C28:DEUDA_CONT_FIN_02)</f>
        <v>0</v>
      </c>
      <c r="D27" s="87">
        <f>SUM(D28:DEUDA_CONT_FIN_03)</f>
        <v>0</v>
      </c>
      <c r="E27" s="87">
        <f>SUM(E28:DEUDA_CONT_FIN_04)</f>
        <v>0</v>
      </c>
      <c r="F27" s="87">
        <f>SUM(F28:DEUDA_CONT_FIN_05)</f>
        <v>0</v>
      </c>
      <c r="G27" s="87">
        <f>SUM(G28:DEUDA_CONT_FIN_06)</f>
        <v>0</v>
      </c>
      <c r="H27" s="87">
        <f>SUM(H28:DEUDA_CONT_FIN_07)</f>
        <v>0</v>
      </c>
    </row>
    <row r="28" spans="1:8" ht="15">
      <c r="A28" s="68" t="s">
        <v>143</v>
      </c>
      <c r="B28" s="85">
        <v>0</v>
      </c>
      <c r="C28" s="85">
        <v>0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</row>
    <row r="29" spans="1:8" ht="15">
      <c r="A29" s="68" t="s">
        <v>144</v>
      </c>
      <c r="B29" s="85"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</row>
    <row r="30" spans="1:8" ht="15">
      <c r="A30" s="68" t="s">
        <v>145</v>
      </c>
      <c r="B30" s="85">
        <v>0</v>
      </c>
      <c r="C30" s="85"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</row>
    <row r="31" spans="1:8" ht="15">
      <c r="A31" s="41" t="s">
        <v>146</v>
      </c>
      <c r="B31" s="86"/>
      <c r="C31" s="86"/>
      <c r="D31" s="86"/>
      <c r="E31" s="86"/>
      <c r="F31" s="86"/>
      <c r="G31" s="86"/>
      <c r="H31" s="86"/>
    </row>
    <row r="32" spans="1:8" ht="17.25">
      <c r="A32" s="65" t="s">
        <v>147</v>
      </c>
      <c r="B32" s="87">
        <f>SUM(B33:VALOR_INS_BCC_FIN_01)</f>
        <v>476222500</v>
      </c>
      <c r="C32" s="87">
        <f>SUM(C33:VALOR_INS_BCC_FIN_02)</f>
        <v>0</v>
      </c>
      <c r="D32" s="87">
        <f>SUM(D33:VALOR_INS_BCC_FIN_03)</f>
        <v>0</v>
      </c>
      <c r="E32" s="87">
        <f>SUM(E33:VALOR_INS_BCC_FIN_04)</f>
        <v>0</v>
      </c>
      <c r="F32" s="87">
        <f>SUM(F33:VALOR_INS_BCC_FIN_05)</f>
        <v>476222500</v>
      </c>
      <c r="G32" s="87">
        <f>SUM(G33:VALOR_INS_BCC_FIN_06)</f>
        <v>9836917</v>
      </c>
      <c r="H32" s="87">
        <f>SUM(H33:zfds)</f>
        <v>0</v>
      </c>
    </row>
    <row r="33" spans="1:8" ht="17.25">
      <c r="A33" s="68" t="s">
        <v>466</v>
      </c>
      <c r="B33" s="85">
        <v>83449015</v>
      </c>
      <c r="C33" s="85">
        <v>0</v>
      </c>
      <c r="D33" s="85">
        <v>0</v>
      </c>
      <c r="E33" s="85">
        <v>0</v>
      </c>
      <c r="F33" s="85">
        <v>83449015</v>
      </c>
      <c r="G33" s="85">
        <v>1790885.41</v>
      </c>
      <c r="H33" s="85">
        <v>0</v>
      </c>
    </row>
    <row r="34" spans="1:8" ht="17.25">
      <c r="A34" s="68" t="s">
        <v>467</v>
      </c>
      <c r="B34" s="85">
        <v>208708907</v>
      </c>
      <c r="C34" s="85">
        <v>0</v>
      </c>
      <c r="D34" s="85">
        <v>0</v>
      </c>
      <c r="E34" s="85">
        <v>0</v>
      </c>
      <c r="F34" s="85">
        <v>208708907</v>
      </c>
      <c r="G34" s="85">
        <v>4217991.26</v>
      </c>
      <c r="H34" s="85">
        <v>0</v>
      </c>
    </row>
    <row r="35" spans="1:8" ht="17.25">
      <c r="A35" s="68" t="s">
        <v>468</v>
      </c>
      <c r="B35" s="85">
        <v>72675017</v>
      </c>
      <c r="C35" s="85">
        <v>0</v>
      </c>
      <c r="D35" s="85">
        <v>0</v>
      </c>
      <c r="E35" s="85">
        <v>0</v>
      </c>
      <c r="F35" s="85">
        <v>72675017</v>
      </c>
      <c r="G35" s="85">
        <v>1548086.23</v>
      </c>
      <c r="H35" s="85">
        <v>0</v>
      </c>
    </row>
    <row r="36" spans="1:8" ht="17.25">
      <c r="A36" s="68" t="s">
        <v>469</v>
      </c>
      <c r="B36" s="85">
        <v>6854706</v>
      </c>
      <c r="C36" s="85">
        <v>0</v>
      </c>
      <c r="D36" s="85">
        <v>0</v>
      </c>
      <c r="E36" s="85">
        <v>0</v>
      </c>
      <c r="F36" s="85">
        <v>6854706</v>
      </c>
      <c r="G36" s="85">
        <v>145588.17</v>
      </c>
      <c r="H36" s="85">
        <v>0</v>
      </c>
    </row>
    <row r="37" spans="1:8" ht="17.25">
      <c r="A37" s="68" t="s">
        <v>470</v>
      </c>
      <c r="B37" s="85">
        <v>104534855</v>
      </c>
      <c r="C37" s="85">
        <v>0</v>
      </c>
      <c r="D37" s="85">
        <v>0</v>
      </c>
      <c r="E37" s="85"/>
      <c r="F37" s="85">
        <v>104534855</v>
      </c>
      <c r="G37" s="85">
        <v>2134365.9299999997</v>
      </c>
      <c r="H37" s="85">
        <v>0</v>
      </c>
    </row>
    <row r="38" spans="1:8" ht="15">
      <c r="A38" s="69" t="s">
        <v>146</v>
      </c>
      <c r="B38" s="95"/>
      <c r="C38" s="43"/>
      <c r="D38" s="43"/>
      <c r="E38" s="43"/>
      <c r="F38" s="43"/>
      <c r="G38" s="43"/>
      <c r="H38" s="43"/>
    </row>
    <row r="39" spans="1:8" ht="15">
      <c r="A39" s="70"/>
      <c r="B39" s="96"/>
      <c r="C39" s="39"/>
      <c r="D39" s="39"/>
      <c r="E39" s="39"/>
      <c r="F39" s="39"/>
      <c r="G39" s="39"/>
      <c r="H39" s="39"/>
    </row>
    <row r="40" spans="1:8" ht="15">
      <c r="A40" s="138" t="s">
        <v>471</v>
      </c>
      <c r="B40" s="139"/>
      <c r="C40" s="139"/>
      <c r="D40" s="139"/>
      <c r="E40" s="139"/>
      <c r="F40" s="139"/>
      <c r="G40" s="139"/>
      <c r="H40" s="139"/>
    </row>
    <row r="41" spans="1:8" ht="15">
      <c r="A41" s="139"/>
      <c r="B41" s="139"/>
      <c r="C41" s="139"/>
      <c r="D41" s="139"/>
      <c r="E41" s="139"/>
      <c r="F41" s="139"/>
      <c r="G41" s="139"/>
      <c r="H41" s="139"/>
    </row>
    <row r="42" spans="1:8" ht="15">
      <c r="A42" s="139"/>
      <c r="B42" s="139"/>
      <c r="C42" s="139"/>
      <c r="D42" s="139"/>
      <c r="E42" s="139"/>
      <c r="F42" s="139"/>
      <c r="G42" s="139"/>
      <c r="H42" s="139"/>
    </row>
    <row r="43" spans="1:8" ht="15">
      <c r="A43" s="139"/>
      <c r="B43" s="139"/>
      <c r="C43" s="139"/>
      <c r="D43" s="139"/>
      <c r="E43" s="139"/>
      <c r="F43" s="139"/>
      <c r="G43" s="139"/>
      <c r="H43" s="139"/>
    </row>
    <row r="44" spans="1:8" ht="15">
      <c r="A44" s="139"/>
      <c r="B44" s="139"/>
      <c r="C44" s="139"/>
      <c r="D44" s="139"/>
      <c r="E44" s="139"/>
      <c r="F44" s="139"/>
      <c r="G44" s="139"/>
      <c r="H44" s="139"/>
    </row>
    <row r="45" spans="1:8" ht="15">
      <c r="A45" s="70"/>
      <c r="B45" s="96"/>
      <c r="C45" s="39"/>
      <c r="D45" s="39"/>
      <c r="E45" s="39"/>
      <c r="F45" s="39"/>
      <c r="G45" s="39"/>
      <c r="H45" s="39"/>
    </row>
    <row r="46" spans="1:8" ht="30">
      <c r="A46" s="5" t="s">
        <v>148</v>
      </c>
      <c r="B46" s="97" t="s">
        <v>149</v>
      </c>
      <c r="C46" s="5" t="s">
        <v>150</v>
      </c>
      <c r="D46" s="5" t="s">
        <v>151</v>
      </c>
      <c r="E46" s="5" t="s">
        <v>152</v>
      </c>
      <c r="F46" s="6" t="s">
        <v>153</v>
      </c>
      <c r="G46" s="39"/>
      <c r="H46" s="39"/>
    </row>
    <row r="47" spans="1:8" ht="15">
      <c r="A47" s="34"/>
      <c r="B47" s="92"/>
      <c r="C47" s="59"/>
      <c r="D47" s="59"/>
      <c r="E47" s="59"/>
      <c r="F47" s="59"/>
      <c r="G47" s="39"/>
      <c r="H47" s="39"/>
    </row>
    <row r="48" spans="1:8" ht="15">
      <c r="A48" s="65" t="s">
        <v>154</v>
      </c>
      <c r="B48" s="87">
        <f>SUM(B49:OB_CORTO_PLAZO_FIN_01)</f>
        <v>0</v>
      </c>
      <c r="C48" s="87">
        <f>SUM(C49:fgsgfdfdfzxvzcvczv)</f>
        <v>0</v>
      </c>
      <c r="D48" s="87">
        <f>SUM(D49:OB_CORTO_PLAZO_FIN_03)</f>
        <v>0</v>
      </c>
      <c r="E48" s="87">
        <f>SUM(E49:gfhdhdgh)</f>
        <v>0</v>
      </c>
      <c r="F48" s="87">
        <f>SUM(F49:OB_CORTO_PLAZO_FIN_05)</f>
        <v>0</v>
      </c>
      <c r="G48" s="39"/>
      <c r="H48" s="39"/>
    </row>
    <row r="49" spans="1:8" ht="15">
      <c r="A49" s="68" t="s">
        <v>155</v>
      </c>
      <c r="B49" s="85">
        <v>0</v>
      </c>
      <c r="C49" s="85">
        <v>0</v>
      </c>
      <c r="D49" s="85">
        <v>0</v>
      </c>
      <c r="E49" s="85">
        <v>0</v>
      </c>
      <c r="F49" s="85">
        <v>0</v>
      </c>
      <c r="G49" s="71"/>
      <c r="H49" s="71"/>
    </row>
    <row r="50" spans="1:8" ht="15">
      <c r="A50" s="68" t="s">
        <v>156</v>
      </c>
      <c r="B50" s="85">
        <v>0</v>
      </c>
      <c r="C50" s="85">
        <v>0</v>
      </c>
      <c r="D50" s="85">
        <v>0</v>
      </c>
      <c r="E50" s="85">
        <v>0</v>
      </c>
      <c r="F50" s="85">
        <v>0</v>
      </c>
      <c r="G50" s="71"/>
      <c r="H50" s="71"/>
    </row>
    <row r="51" spans="1:8" ht="15">
      <c r="A51" s="68" t="s">
        <v>157</v>
      </c>
      <c r="B51" s="85">
        <v>0</v>
      </c>
      <c r="C51" s="85">
        <v>0</v>
      </c>
      <c r="D51" s="85">
        <v>0</v>
      </c>
      <c r="E51" s="85">
        <v>0</v>
      </c>
      <c r="F51" s="85">
        <v>0</v>
      </c>
      <c r="G51" s="71"/>
      <c r="H51" s="71"/>
    </row>
    <row r="52" spans="1:8" ht="15">
      <c r="A52" s="72" t="s">
        <v>146</v>
      </c>
      <c r="B52" s="95"/>
      <c r="C52" s="43"/>
      <c r="D52" s="43"/>
      <c r="E52" s="43"/>
      <c r="F52" s="43"/>
      <c r="G52" s="39"/>
      <c r="H52" s="39"/>
    </row>
    <row r="53" spans="1:8" ht="15">
      <c r="A53" s="39"/>
      <c r="B53" s="96"/>
      <c r="C53" s="39"/>
      <c r="D53" s="39"/>
      <c r="E53" s="39"/>
      <c r="F53" s="39"/>
      <c r="G53" s="39"/>
      <c r="H53" s="39"/>
    </row>
  </sheetData>
  <sheetProtection/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B37 C8:H12 C13:IV14 C15:H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scale="48" r:id="rId1"/>
  <ignoredErrors>
    <ignoredError sqref="B8:H8 B9:H9 B25:H25 B27:H27 B32:H32 F15:F19 B13:G13 H13" unlockedFormula="1"/>
    <ignoredError sqref="B14:H14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E6" sqref="E6"/>
    </sheetView>
  </sheetViews>
  <sheetFormatPr defaultColWidth="0" defaultRowHeight="15" customHeight="1" zeroHeight="1"/>
  <cols>
    <col min="1" max="1" width="76.28125" style="0" customWidth="1"/>
    <col min="2" max="4" width="20.7109375" style="0" customWidth="1"/>
    <col min="5" max="5" width="20.7109375" style="39" customWidth="1"/>
    <col min="6" max="6" width="20.7109375" style="0" customWidth="1"/>
    <col min="7" max="11" width="25.7109375" style="0" customWidth="1"/>
    <col min="12" max="12" width="10.7109375" style="0" hidden="1" customWidth="1"/>
    <col min="13" max="16384" width="10.7109375" style="0" hidden="1" customWidth="1"/>
  </cols>
  <sheetData>
    <row r="1" spans="1:12" s="12" customFormat="1" ht="37.5" customHeight="1">
      <c r="A1" s="141" t="s">
        <v>158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1"/>
    </row>
    <row r="2" spans="1:11" ht="15">
      <c r="A2" s="126" t="s">
        <v>291</v>
      </c>
      <c r="B2" s="127"/>
      <c r="C2" s="127"/>
      <c r="D2" s="127"/>
      <c r="E2" s="127"/>
      <c r="F2" s="127"/>
      <c r="G2" s="127"/>
      <c r="H2" s="127"/>
      <c r="I2" s="127"/>
      <c r="J2" s="127"/>
      <c r="K2" s="128"/>
    </row>
    <row r="3" spans="1:11" ht="15">
      <c r="A3" s="129" t="s">
        <v>159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</row>
    <row r="4" spans="1:11" ht="15">
      <c r="A4" s="132" t="s">
        <v>480</v>
      </c>
      <c r="B4" s="133"/>
      <c r="C4" s="133"/>
      <c r="D4" s="133"/>
      <c r="E4" s="133"/>
      <c r="F4" s="133"/>
      <c r="G4" s="133"/>
      <c r="H4" s="133"/>
      <c r="I4" s="133"/>
      <c r="J4" s="133"/>
      <c r="K4" s="134"/>
    </row>
    <row r="5" spans="1:11" ht="15">
      <c r="A5" s="129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1"/>
    </row>
    <row r="6" spans="1:11" ht="75">
      <c r="A6" s="6" t="s">
        <v>160</v>
      </c>
      <c r="B6" s="6" t="s">
        <v>161</v>
      </c>
      <c r="C6" s="6" t="s">
        <v>162</v>
      </c>
      <c r="D6" s="6" t="s">
        <v>163</v>
      </c>
      <c r="E6" s="6" t="s">
        <v>164</v>
      </c>
      <c r="F6" s="6" t="s">
        <v>165</v>
      </c>
      <c r="G6" s="6" t="s">
        <v>166</v>
      </c>
      <c r="H6" s="6" t="s">
        <v>167</v>
      </c>
      <c r="I6" s="2" t="s">
        <v>481</v>
      </c>
      <c r="J6" s="2" t="s">
        <v>482</v>
      </c>
      <c r="K6" s="2" t="s">
        <v>483</v>
      </c>
    </row>
    <row r="7" spans="1:11" ht="15">
      <c r="A7" s="25"/>
      <c r="B7" s="8"/>
      <c r="C7" s="8"/>
      <c r="D7" s="8"/>
      <c r="E7" s="59"/>
      <c r="F7" s="8"/>
      <c r="G7" s="59"/>
      <c r="H7" s="59"/>
      <c r="I7" s="59"/>
      <c r="J7" s="59"/>
      <c r="K7" s="59"/>
    </row>
    <row r="8" spans="1:11" ht="15">
      <c r="A8" s="62" t="s">
        <v>168</v>
      </c>
      <c r="B8" s="13"/>
      <c r="C8" s="13"/>
      <c r="D8" s="13"/>
      <c r="E8" s="87">
        <f>SUM(E9:APP_FIN_04)</f>
        <v>0</v>
      </c>
      <c r="F8" s="99"/>
      <c r="G8" s="87">
        <f>SUM(G9:APP_FIN_06)</f>
        <v>0</v>
      </c>
      <c r="H8" s="87">
        <f>SUM(H9:APP_FIN_07)</f>
        <v>0</v>
      </c>
      <c r="I8" s="87">
        <f>SUM(I9:APP_FIN_08)</f>
        <v>0</v>
      </c>
      <c r="J8" s="87">
        <f>SUM(J9:APP_FIN_09)</f>
        <v>0</v>
      </c>
      <c r="K8" s="87">
        <f>SUM(K9:APP_FIN_10)</f>
        <v>0</v>
      </c>
    </row>
    <row r="9" spans="1:11" s="10" customFormat="1" ht="15">
      <c r="A9" s="63" t="s">
        <v>169</v>
      </c>
      <c r="B9" s="60"/>
      <c r="C9" s="60"/>
      <c r="D9" s="60"/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f>E9-J9</f>
        <v>0</v>
      </c>
    </row>
    <row r="10" spans="1:11" s="10" customFormat="1" ht="15">
      <c r="A10" s="63" t="s">
        <v>170</v>
      </c>
      <c r="B10" s="60"/>
      <c r="C10" s="60"/>
      <c r="D10" s="60"/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f>E10-J10</f>
        <v>0</v>
      </c>
    </row>
    <row r="11" spans="1:11" s="10" customFormat="1" ht="15">
      <c r="A11" s="63" t="s">
        <v>171</v>
      </c>
      <c r="B11" s="60"/>
      <c r="C11" s="60"/>
      <c r="D11" s="60"/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f>E11-J11</f>
        <v>0</v>
      </c>
    </row>
    <row r="12" spans="1:11" s="10" customFormat="1" ht="15">
      <c r="A12" s="63" t="s">
        <v>172</v>
      </c>
      <c r="B12" s="60"/>
      <c r="C12" s="60"/>
      <c r="D12" s="60"/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f>E12-J12</f>
        <v>0</v>
      </c>
    </row>
    <row r="13" spans="1:11" ht="15">
      <c r="A13" s="64" t="s">
        <v>146</v>
      </c>
      <c r="B13" s="61"/>
      <c r="C13" s="61"/>
      <c r="D13" s="61"/>
      <c r="E13" s="86"/>
      <c r="F13" s="86"/>
      <c r="G13" s="86"/>
      <c r="H13" s="86"/>
      <c r="I13" s="86"/>
      <c r="J13" s="86"/>
      <c r="K13" s="86"/>
    </row>
    <row r="14" spans="1:11" ht="15">
      <c r="A14" s="62" t="s">
        <v>173</v>
      </c>
      <c r="B14" s="13"/>
      <c r="C14" s="13"/>
      <c r="D14" s="13"/>
      <c r="E14" s="87">
        <f>SUM(E15:OTROS_FIN_04)</f>
        <v>0</v>
      </c>
      <c r="F14" s="99"/>
      <c r="G14" s="87">
        <f>SUM(G15:OTROS_FIN_06)</f>
        <v>0</v>
      </c>
      <c r="H14" s="87">
        <f>SUM(H15:OTROS_FIN_07)</f>
        <v>0</v>
      </c>
      <c r="I14" s="87">
        <f>SUM(I15:OTROS_FIN_08)</f>
        <v>0</v>
      </c>
      <c r="J14" s="87">
        <f>SUM(J15:OTROS_FIN_09)</f>
        <v>0</v>
      </c>
      <c r="K14" s="87">
        <f>SUM(K15:OTROS_FIN_10)</f>
        <v>0</v>
      </c>
    </row>
    <row r="15" spans="1:11" s="10" customFormat="1" ht="15">
      <c r="A15" s="63" t="s">
        <v>174</v>
      </c>
      <c r="B15" s="60"/>
      <c r="C15" s="60"/>
      <c r="D15" s="60"/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f>E15-J15</f>
        <v>0</v>
      </c>
    </row>
    <row r="16" spans="1:11" s="10" customFormat="1" ht="15">
      <c r="A16" s="63" t="s">
        <v>175</v>
      </c>
      <c r="B16" s="60"/>
      <c r="C16" s="60"/>
      <c r="D16" s="60"/>
      <c r="E16" s="85">
        <v>0</v>
      </c>
      <c r="F16" s="85">
        <v>0</v>
      </c>
      <c r="G16" s="85">
        <v>0</v>
      </c>
      <c r="H16" s="85">
        <v>0</v>
      </c>
      <c r="I16" s="85">
        <v>0</v>
      </c>
      <c r="J16" s="85">
        <v>0</v>
      </c>
      <c r="K16" s="85">
        <f>E16-J16</f>
        <v>0</v>
      </c>
    </row>
    <row r="17" spans="1:11" s="10" customFormat="1" ht="15">
      <c r="A17" s="63" t="s">
        <v>176</v>
      </c>
      <c r="B17" s="60"/>
      <c r="C17" s="60"/>
      <c r="D17" s="60"/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f>E17-J17</f>
        <v>0</v>
      </c>
    </row>
    <row r="18" spans="1:11" s="10" customFormat="1" ht="15">
      <c r="A18" s="63" t="s">
        <v>177</v>
      </c>
      <c r="B18" s="60"/>
      <c r="C18" s="60"/>
      <c r="D18" s="60"/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f>E18-J18</f>
        <v>0</v>
      </c>
    </row>
    <row r="19" spans="1:11" ht="15">
      <c r="A19" s="64" t="s">
        <v>146</v>
      </c>
      <c r="B19" s="61"/>
      <c r="C19" s="61"/>
      <c r="D19" s="61"/>
      <c r="E19" s="86"/>
      <c r="F19" s="86"/>
      <c r="G19" s="86"/>
      <c r="H19" s="86"/>
      <c r="I19" s="86"/>
      <c r="J19" s="86"/>
      <c r="K19" s="86"/>
    </row>
    <row r="20" spans="1:11" ht="15">
      <c r="A20" s="62" t="s">
        <v>178</v>
      </c>
      <c r="B20" s="13"/>
      <c r="C20" s="13"/>
      <c r="D20" s="13"/>
      <c r="E20" s="87">
        <f>fdggdfgdgfd+sdfsdfsfds</f>
        <v>0</v>
      </c>
      <c r="F20" s="99"/>
      <c r="G20" s="87">
        <f>sdfsfsdf+OTROS_T6</f>
        <v>0</v>
      </c>
      <c r="H20" s="87">
        <f>APP_T7+dsfdsdsdsdsdsdsdsdsdsdsdsdsdsdsdsdsdsdsdsdsdsdsdsdsdsdsdsdsdsdsdsdsdsds</f>
        <v>0</v>
      </c>
      <c r="I20" s="87">
        <f>APP_T8+dsfsfdsffffffff</f>
        <v>0</v>
      </c>
      <c r="J20" s="87">
        <f>fdsfdsfdsfdsfdsfdsfdsfdsfdsfdsfdsfds+OTROS_T9</f>
        <v>0</v>
      </c>
      <c r="K20" s="87">
        <f>APP_T10+OTROS_T10</f>
        <v>0</v>
      </c>
    </row>
    <row r="21" spans="1:11" ht="15">
      <c r="A21" s="35"/>
      <c r="B21" s="9"/>
      <c r="C21" s="9"/>
      <c r="D21" s="9"/>
      <c r="E21" s="43"/>
      <c r="F21" s="9"/>
      <c r="G21" s="43"/>
      <c r="H21" s="43"/>
      <c r="I21" s="43"/>
      <c r="J21" s="43"/>
      <c r="K21" s="43"/>
    </row>
  </sheetData>
  <sheetProtection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9" r:id="rId1"/>
  <ignoredErrors>
    <ignoredError sqref="E8:J8 E14:J14 E20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zoomScale="70" zoomScaleNormal="70" zoomScalePageLayoutView="0" workbookViewId="0" topLeftCell="A1">
      <selection activeCell="C9" sqref="C9"/>
    </sheetView>
  </sheetViews>
  <sheetFormatPr defaultColWidth="0" defaultRowHeight="15" zeroHeight="1"/>
  <cols>
    <col min="1" max="1" width="101.421875" style="0" customWidth="1"/>
    <col min="2" max="4" width="25.7109375" style="0" customWidth="1"/>
    <col min="5" max="16384" width="11.421875" style="0" hidden="1" customWidth="1"/>
  </cols>
  <sheetData>
    <row r="1" spans="1:4" ht="21">
      <c r="A1" s="141" t="s">
        <v>179</v>
      </c>
      <c r="B1" s="141"/>
      <c r="C1" s="141"/>
      <c r="D1" s="141"/>
    </row>
    <row r="2" spans="1:4" ht="15">
      <c r="A2" s="126" t="s">
        <v>291</v>
      </c>
      <c r="B2" s="127"/>
      <c r="C2" s="127"/>
      <c r="D2" s="128"/>
    </row>
    <row r="3" spans="1:4" ht="15">
      <c r="A3" s="129" t="s">
        <v>180</v>
      </c>
      <c r="B3" s="130"/>
      <c r="C3" s="130"/>
      <c r="D3" s="131"/>
    </row>
    <row r="4" spans="1:4" ht="15">
      <c r="A4" s="132" t="s">
        <v>480</v>
      </c>
      <c r="B4" s="133"/>
      <c r="C4" s="133"/>
      <c r="D4" s="134"/>
    </row>
    <row r="5" spans="1:4" ht="15">
      <c r="A5" s="135" t="s">
        <v>2</v>
      </c>
      <c r="B5" s="136"/>
      <c r="C5" s="136"/>
      <c r="D5" s="137"/>
    </row>
    <row r="6" spans="1:4" ht="15">
      <c r="A6" s="39"/>
      <c r="B6" s="39"/>
      <c r="C6" s="39"/>
      <c r="D6" s="39"/>
    </row>
    <row r="7" spans="1:4" ht="30">
      <c r="A7" s="14" t="s">
        <v>4</v>
      </c>
      <c r="B7" s="6" t="s">
        <v>181</v>
      </c>
      <c r="C7" s="6" t="s">
        <v>182</v>
      </c>
      <c r="D7" s="6" t="s">
        <v>183</v>
      </c>
    </row>
    <row r="8" spans="1:4" ht="15">
      <c r="A8" s="23" t="s">
        <v>184</v>
      </c>
      <c r="B8" s="49">
        <f>SUM(B9:B11)</f>
        <v>21945510878</v>
      </c>
      <c r="C8" s="49">
        <f>SUM(C9:C11)</f>
        <v>11561171356.529999</v>
      </c>
      <c r="D8" s="49">
        <f>SUM(D9:D11)</f>
        <v>11561144139.329998</v>
      </c>
    </row>
    <row r="9" spans="1:4" ht="15">
      <c r="A9" s="20" t="s">
        <v>185</v>
      </c>
      <c r="B9" s="51">
        <v>10872529362</v>
      </c>
      <c r="C9" s="51">
        <v>5640459472.759999</v>
      </c>
      <c r="D9" s="58">
        <v>5640432255.559999</v>
      </c>
    </row>
    <row r="10" spans="1:4" ht="15">
      <c r="A10" s="20" t="s">
        <v>186</v>
      </c>
      <c r="B10" s="51">
        <v>11110212505</v>
      </c>
      <c r="C10" s="51">
        <v>5938661584.36</v>
      </c>
      <c r="D10" s="58">
        <v>5938661584.36</v>
      </c>
    </row>
    <row r="11" spans="1:4" ht="15">
      <c r="A11" s="20" t="s">
        <v>187</v>
      </c>
      <c r="B11" s="51">
        <f>B44</f>
        <v>-37230989</v>
      </c>
      <c r="C11" s="51">
        <f>C44</f>
        <v>-17949700.59</v>
      </c>
      <c r="D11" s="51">
        <f>D44</f>
        <v>-17949700.59</v>
      </c>
    </row>
    <row r="12" spans="1:4" ht="15">
      <c r="A12" s="22"/>
      <c r="B12" s="42"/>
      <c r="C12" s="42"/>
      <c r="D12" s="42"/>
    </row>
    <row r="13" spans="1:4" ht="15">
      <c r="A13" s="23" t="s">
        <v>188</v>
      </c>
      <c r="B13" s="49">
        <f>B14+B15</f>
        <v>21945510878</v>
      </c>
      <c r="C13" s="49">
        <f>C14+C15</f>
        <v>10735811049.130001</v>
      </c>
      <c r="D13" s="49">
        <f>D14+D15</f>
        <v>10663805400.779999</v>
      </c>
    </row>
    <row r="14" spans="1:4" ht="15">
      <c r="A14" s="20" t="s">
        <v>189</v>
      </c>
      <c r="B14" s="51">
        <v>10835298373</v>
      </c>
      <c r="C14" s="51">
        <v>5251409748.42</v>
      </c>
      <c r="D14" s="51">
        <v>5179404100.07</v>
      </c>
    </row>
    <row r="15" spans="1:4" ht="15">
      <c r="A15" s="20" t="s">
        <v>190</v>
      </c>
      <c r="B15" s="51">
        <v>11110212505</v>
      </c>
      <c r="C15" s="51">
        <v>5484401300.71</v>
      </c>
      <c r="D15" s="51">
        <v>5484401300.71</v>
      </c>
    </row>
    <row r="16" spans="1:4" ht="15">
      <c r="A16" s="22"/>
      <c r="B16" s="42"/>
      <c r="C16" s="42"/>
      <c r="D16" s="42"/>
    </row>
    <row r="17" spans="1:4" ht="15">
      <c r="A17" s="23" t="s">
        <v>191</v>
      </c>
      <c r="B17" s="16">
        <f>B18+B19</f>
        <v>0</v>
      </c>
      <c r="C17" s="15">
        <f>C18+C19</f>
        <v>482104386.2200001</v>
      </c>
      <c r="D17" s="15">
        <f>D18+D19</f>
        <v>482104386.21999997</v>
      </c>
    </row>
    <row r="18" spans="1:4" ht="15">
      <c r="A18" s="20" t="s">
        <v>192</v>
      </c>
      <c r="B18" s="17">
        <v>0</v>
      </c>
      <c r="C18" s="58">
        <v>456143474.9800001</v>
      </c>
      <c r="D18" s="58">
        <v>456143474.97999996</v>
      </c>
    </row>
    <row r="19" spans="1:4" ht="15">
      <c r="A19" s="20" t="s">
        <v>193</v>
      </c>
      <c r="B19" s="17">
        <v>0</v>
      </c>
      <c r="C19" s="58">
        <v>25960911.24</v>
      </c>
      <c r="D19" s="58">
        <v>25960911.240000002</v>
      </c>
    </row>
    <row r="20" spans="1:4" ht="15">
      <c r="A20" s="22"/>
      <c r="B20" s="42"/>
      <c r="C20" s="42"/>
      <c r="D20" s="42"/>
    </row>
    <row r="21" spans="1:4" ht="15">
      <c r="A21" s="23" t="s">
        <v>194</v>
      </c>
      <c r="B21" s="100">
        <f>B8-B13+B17</f>
        <v>0</v>
      </c>
      <c r="C21" s="49">
        <f>C8-C13+C17</f>
        <v>1307464693.6199977</v>
      </c>
      <c r="D21" s="49">
        <f>D8-D13+D17</f>
        <v>1379443124.7699993</v>
      </c>
    </row>
    <row r="22" spans="1:4" ht="15">
      <c r="A22" s="23"/>
      <c r="B22" s="42"/>
      <c r="C22" s="42"/>
      <c r="D22" s="42"/>
    </row>
    <row r="23" spans="1:4" ht="15">
      <c r="A23" s="23" t="s">
        <v>195</v>
      </c>
      <c r="B23" s="49">
        <f>B21-B11</f>
        <v>37230989</v>
      </c>
      <c r="C23" s="49">
        <f>C21-C11</f>
        <v>1325414394.2099977</v>
      </c>
      <c r="D23" s="49">
        <f>D21-D11</f>
        <v>1397392825.3599992</v>
      </c>
    </row>
    <row r="24" spans="1:4" ht="15">
      <c r="A24" s="23"/>
      <c r="B24" s="57"/>
      <c r="C24" s="57"/>
      <c r="D24" s="57"/>
    </row>
    <row r="25" spans="1:4" ht="15">
      <c r="A25" s="45" t="s">
        <v>196</v>
      </c>
      <c r="B25" s="49">
        <f>B23-B17</f>
        <v>37230989</v>
      </c>
      <c r="C25" s="49">
        <f>C23-C17</f>
        <v>843310007.9899976</v>
      </c>
      <c r="D25" s="49">
        <f>D23-D17</f>
        <v>915288439.1399992</v>
      </c>
    </row>
    <row r="26" spans="1:4" ht="15">
      <c r="A26" s="56"/>
      <c r="B26" s="43"/>
      <c r="C26" s="43"/>
      <c r="D26" s="43"/>
    </row>
    <row r="27" spans="1:4" ht="15">
      <c r="A27" s="70"/>
      <c r="B27" s="39"/>
      <c r="C27" s="39"/>
      <c r="D27" s="39"/>
    </row>
    <row r="28" spans="1:4" ht="15">
      <c r="A28" s="14" t="s">
        <v>197</v>
      </c>
      <c r="B28" s="6" t="s">
        <v>198</v>
      </c>
      <c r="C28" s="6" t="s">
        <v>182</v>
      </c>
      <c r="D28" s="6" t="s">
        <v>199</v>
      </c>
    </row>
    <row r="29" spans="1:4" ht="15">
      <c r="A29" s="23" t="s">
        <v>200</v>
      </c>
      <c r="B29" s="27">
        <f>B30+B31</f>
        <v>269176179</v>
      </c>
      <c r="C29" s="27">
        <f>C30+C31</f>
        <v>272619801.78</v>
      </c>
      <c r="D29" s="27">
        <f>D30+D31</f>
        <v>107957571.12</v>
      </c>
    </row>
    <row r="30" spans="1:4" ht="15">
      <c r="A30" s="20" t="s">
        <v>201</v>
      </c>
      <c r="B30" s="28">
        <v>269176179</v>
      </c>
      <c r="C30" s="28">
        <v>272619801.78</v>
      </c>
      <c r="D30" s="28">
        <v>107957571.12</v>
      </c>
    </row>
    <row r="31" spans="1:4" ht="15">
      <c r="A31" s="20" t="s">
        <v>202</v>
      </c>
      <c r="B31" s="85">
        <v>0</v>
      </c>
      <c r="C31" s="85">
        <v>0</v>
      </c>
      <c r="D31" s="85">
        <v>0</v>
      </c>
    </row>
    <row r="32" spans="1:4" ht="15">
      <c r="A32" s="34"/>
      <c r="B32" s="29"/>
      <c r="C32" s="29"/>
      <c r="D32" s="29"/>
    </row>
    <row r="33" spans="1:4" ht="15">
      <c r="A33" s="23" t="s">
        <v>203</v>
      </c>
      <c r="B33" s="27">
        <f>B25+B29</f>
        <v>306407168</v>
      </c>
      <c r="C33" s="27">
        <f>C25+C29</f>
        <v>1115929809.7699976</v>
      </c>
      <c r="D33" s="27">
        <f>D25+D29</f>
        <v>1023246010.2599992</v>
      </c>
    </row>
    <row r="34" spans="1:4" ht="15">
      <c r="A34" s="35"/>
      <c r="B34" s="35"/>
      <c r="C34" s="35"/>
      <c r="D34" s="35"/>
    </row>
    <row r="35" spans="1:4" ht="15">
      <c r="A35" s="70"/>
      <c r="B35" s="39"/>
      <c r="C35" s="39"/>
      <c r="D35" s="39"/>
    </row>
    <row r="36" spans="1:4" ht="30">
      <c r="A36" s="14" t="s">
        <v>197</v>
      </c>
      <c r="B36" s="6" t="s">
        <v>204</v>
      </c>
      <c r="C36" s="6" t="s">
        <v>182</v>
      </c>
      <c r="D36" s="6" t="s">
        <v>183</v>
      </c>
    </row>
    <row r="37" spans="1:4" ht="15">
      <c r="A37" s="23" t="s">
        <v>205</v>
      </c>
      <c r="B37" s="87">
        <f>B38+B39</f>
        <v>0</v>
      </c>
      <c r="C37" s="87">
        <f>C38+C39</f>
        <v>0</v>
      </c>
      <c r="D37" s="87">
        <f>D38+D39</f>
        <v>0</v>
      </c>
    </row>
    <row r="38" spans="1:4" ht="15">
      <c r="A38" s="20" t="s">
        <v>206</v>
      </c>
      <c r="B38" s="85">
        <v>0</v>
      </c>
      <c r="C38" s="85">
        <v>0</v>
      </c>
      <c r="D38" s="85">
        <v>0</v>
      </c>
    </row>
    <row r="39" spans="1:4" ht="15">
      <c r="A39" s="20" t="s">
        <v>207</v>
      </c>
      <c r="B39" s="85">
        <v>0</v>
      </c>
      <c r="C39" s="85">
        <v>0</v>
      </c>
      <c r="D39" s="85">
        <v>0</v>
      </c>
    </row>
    <row r="40" spans="1:4" ht="15">
      <c r="A40" s="23" t="s">
        <v>208</v>
      </c>
      <c r="B40" s="87">
        <f>B41+B42</f>
        <v>37230989</v>
      </c>
      <c r="C40" s="87">
        <f>C41+C42</f>
        <v>17949700.59</v>
      </c>
      <c r="D40" s="87">
        <f>D41+D42</f>
        <v>17949700.59</v>
      </c>
    </row>
    <row r="41" spans="1:4" ht="15">
      <c r="A41" s="20" t="s">
        <v>209</v>
      </c>
      <c r="B41" s="85">
        <v>37230989</v>
      </c>
      <c r="C41" s="85">
        <v>17949700.59</v>
      </c>
      <c r="D41" s="85">
        <v>17949700.59</v>
      </c>
    </row>
    <row r="42" spans="1:4" ht="15">
      <c r="A42" s="20" t="s">
        <v>210</v>
      </c>
      <c r="B42" s="85">
        <v>0</v>
      </c>
      <c r="C42" s="85">
        <v>0</v>
      </c>
      <c r="D42" s="85">
        <v>0</v>
      </c>
    </row>
    <row r="43" spans="1:4" ht="15">
      <c r="A43" s="34"/>
      <c r="B43" s="86"/>
      <c r="C43" s="86"/>
      <c r="D43" s="86"/>
    </row>
    <row r="44" spans="1:4" ht="15">
      <c r="A44" s="23" t="s">
        <v>211</v>
      </c>
      <c r="B44" s="87">
        <f>B37-B40</f>
        <v>-37230989</v>
      </c>
      <c r="C44" s="87">
        <f>C37-C40</f>
        <v>-17949700.59</v>
      </c>
      <c r="D44" s="87">
        <f>D37-D40</f>
        <v>-17949700.59</v>
      </c>
    </row>
    <row r="45" spans="1:4" ht="15">
      <c r="A45" s="55"/>
      <c r="B45" s="35"/>
      <c r="C45" s="35"/>
      <c r="D45" s="35"/>
    </row>
    <row r="46" spans="1:4" ht="15">
      <c r="A46" s="39"/>
      <c r="B46" s="39"/>
      <c r="C46" s="39"/>
      <c r="D46" s="39"/>
    </row>
    <row r="47" spans="1:4" ht="30">
      <c r="A47" s="14" t="s">
        <v>197</v>
      </c>
      <c r="B47" s="6" t="s">
        <v>204</v>
      </c>
      <c r="C47" s="6" t="s">
        <v>182</v>
      </c>
      <c r="D47" s="6" t="s">
        <v>183</v>
      </c>
    </row>
    <row r="48" spans="1:4" ht="15">
      <c r="A48" s="46" t="s">
        <v>212</v>
      </c>
      <c r="B48" s="52">
        <f>B9</f>
        <v>10872529362</v>
      </c>
      <c r="C48" s="52">
        <f>C9</f>
        <v>5640459472.759999</v>
      </c>
      <c r="D48" s="52">
        <f>D9</f>
        <v>5640432255.559999</v>
      </c>
    </row>
    <row r="49" spans="1:4" ht="15">
      <c r="A49" s="48" t="s">
        <v>213</v>
      </c>
      <c r="B49" s="27">
        <f>B50-B51</f>
        <v>-37230989</v>
      </c>
      <c r="C49" s="27">
        <f>C50-C51</f>
        <v>-17949700.59</v>
      </c>
      <c r="D49" s="27">
        <f>D50-D51</f>
        <v>-17949700.59</v>
      </c>
    </row>
    <row r="50" spans="1:4" ht="15">
      <c r="A50" s="50" t="s">
        <v>206</v>
      </c>
      <c r="B50" s="85">
        <f>+B38</f>
        <v>0</v>
      </c>
      <c r="C50" s="85">
        <f>+C38</f>
        <v>0</v>
      </c>
      <c r="D50" s="85">
        <f>+D38</f>
        <v>0</v>
      </c>
    </row>
    <row r="51" spans="1:4" ht="15">
      <c r="A51" s="50" t="s">
        <v>209</v>
      </c>
      <c r="B51" s="85">
        <f>+B41</f>
        <v>37230989</v>
      </c>
      <c r="C51" s="85">
        <f>+C41</f>
        <v>17949700.59</v>
      </c>
      <c r="D51" s="85">
        <f>+D41</f>
        <v>17949700.59</v>
      </c>
    </row>
    <row r="52" spans="1:4" ht="15">
      <c r="A52" s="34"/>
      <c r="B52" s="86"/>
      <c r="C52" s="86"/>
      <c r="D52" s="86"/>
    </row>
    <row r="53" spans="1:4" ht="15">
      <c r="A53" s="20" t="s">
        <v>189</v>
      </c>
      <c r="B53" s="85">
        <f>B14</f>
        <v>10835298373</v>
      </c>
      <c r="C53" s="85">
        <f>C14</f>
        <v>5251409748.42</v>
      </c>
      <c r="D53" s="85">
        <f>D14</f>
        <v>5179404100.07</v>
      </c>
    </row>
    <row r="54" spans="1:4" ht="15">
      <c r="A54" s="34"/>
      <c r="B54" s="86"/>
      <c r="C54" s="86"/>
      <c r="D54" s="86"/>
    </row>
    <row r="55" spans="1:4" ht="15">
      <c r="A55" s="20" t="s">
        <v>192</v>
      </c>
      <c r="B55" s="101">
        <f>B18</f>
        <v>0</v>
      </c>
      <c r="C55" s="102">
        <f>C18</f>
        <v>456143474.9800001</v>
      </c>
      <c r="D55" s="102">
        <f>D18</f>
        <v>456143474.97999996</v>
      </c>
    </row>
    <row r="56" spans="1:4" ht="15">
      <c r="A56" s="34"/>
      <c r="B56" s="86"/>
      <c r="C56" s="86"/>
      <c r="D56" s="86"/>
    </row>
    <row r="57" spans="1:4" ht="30">
      <c r="A57" s="45" t="s">
        <v>214</v>
      </c>
      <c r="B57" s="87">
        <f>B48+B49-B53+B55</f>
        <v>0</v>
      </c>
      <c r="C57" s="87">
        <f>C48+C49-C53+C55</f>
        <v>827243498.7299991</v>
      </c>
      <c r="D57" s="87">
        <f>D48+D49-D53+D55</f>
        <v>899221929.8799996</v>
      </c>
    </row>
    <row r="58" spans="1:4" ht="15">
      <c r="A58" s="53"/>
      <c r="B58" s="54"/>
      <c r="C58" s="54"/>
      <c r="D58" s="54"/>
    </row>
    <row r="59" spans="1:4" ht="15">
      <c r="A59" s="45" t="s">
        <v>215</v>
      </c>
      <c r="B59" s="27">
        <f>B57-B49</f>
        <v>37230989</v>
      </c>
      <c r="C59" s="27">
        <f>C57-C49</f>
        <v>845193199.3199991</v>
      </c>
      <c r="D59" s="27">
        <f>D57-D49</f>
        <v>917171630.4699997</v>
      </c>
    </row>
    <row r="60" spans="1:4" ht="15">
      <c r="A60" s="35"/>
      <c r="B60" s="35"/>
      <c r="C60" s="35"/>
      <c r="D60" s="35"/>
    </row>
    <row r="61" spans="1:4" ht="15">
      <c r="A61" s="39"/>
      <c r="B61" s="39"/>
      <c r="C61" s="39"/>
      <c r="D61" s="39"/>
    </row>
    <row r="62" spans="1:4" ht="30">
      <c r="A62" s="14" t="s">
        <v>197</v>
      </c>
      <c r="B62" s="6" t="s">
        <v>204</v>
      </c>
      <c r="C62" s="6" t="s">
        <v>182</v>
      </c>
      <c r="D62" s="6" t="s">
        <v>183</v>
      </c>
    </row>
    <row r="63" spans="1:4" ht="15">
      <c r="A63" s="46" t="s">
        <v>186</v>
      </c>
      <c r="B63" s="47">
        <f>B10</f>
        <v>11110212505</v>
      </c>
      <c r="C63" s="47">
        <f>C10</f>
        <v>5938661584.36</v>
      </c>
      <c r="D63" s="47">
        <f>D10</f>
        <v>5938661584.36</v>
      </c>
    </row>
    <row r="64" spans="1:4" ht="30">
      <c r="A64" s="48" t="s">
        <v>216</v>
      </c>
      <c r="B64" s="100">
        <f>B65-B66</f>
        <v>0</v>
      </c>
      <c r="C64" s="100">
        <f>C65-C66</f>
        <v>0</v>
      </c>
      <c r="D64" s="100">
        <f>D65-D66</f>
        <v>0</v>
      </c>
    </row>
    <row r="65" spans="1:4" ht="15">
      <c r="A65" s="50" t="s">
        <v>207</v>
      </c>
      <c r="B65" s="103">
        <f>+B39</f>
        <v>0</v>
      </c>
      <c r="C65" s="103">
        <f>+C39</f>
        <v>0</v>
      </c>
      <c r="D65" s="103">
        <f>+D39</f>
        <v>0</v>
      </c>
    </row>
    <row r="66" spans="1:4" ht="15">
      <c r="A66" s="50" t="s">
        <v>210</v>
      </c>
      <c r="B66" s="103">
        <f>+B42</f>
        <v>0</v>
      </c>
      <c r="C66" s="103">
        <f>+C42</f>
        <v>0</v>
      </c>
      <c r="D66" s="103">
        <f>+D42</f>
        <v>0</v>
      </c>
    </row>
    <row r="67" spans="1:4" ht="15">
      <c r="A67" s="34"/>
      <c r="B67" s="93"/>
      <c r="C67" s="93"/>
      <c r="D67" s="93"/>
    </row>
    <row r="68" spans="1:4" ht="15">
      <c r="A68" s="20" t="s">
        <v>217</v>
      </c>
      <c r="B68" s="103">
        <f>B15</f>
        <v>11110212505</v>
      </c>
      <c r="C68" s="103">
        <f>C15</f>
        <v>5484401300.71</v>
      </c>
      <c r="D68" s="103">
        <f>D15</f>
        <v>5484401300.71</v>
      </c>
    </row>
    <row r="69" spans="1:4" ht="15">
      <c r="A69" s="34"/>
      <c r="B69" s="93"/>
      <c r="C69" s="93"/>
      <c r="D69" s="93"/>
    </row>
    <row r="70" spans="1:4" ht="15">
      <c r="A70" s="20" t="s">
        <v>193</v>
      </c>
      <c r="B70" s="104">
        <f>B19</f>
        <v>0</v>
      </c>
      <c r="C70" s="105">
        <f>C19</f>
        <v>25960911.24</v>
      </c>
      <c r="D70" s="105">
        <f>D19</f>
        <v>25960911.240000002</v>
      </c>
    </row>
    <row r="71" spans="1:4" ht="15">
      <c r="A71" s="34"/>
      <c r="B71" s="93"/>
      <c r="C71" s="93"/>
      <c r="D71" s="93"/>
    </row>
    <row r="72" spans="1:4" ht="30">
      <c r="A72" s="45" t="s">
        <v>218</v>
      </c>
      <c r="B72" s="100">
        <f>B63+B64-B68+B70</f>
        <v>0</v>
      </c>
      <c r="C72" s="100">
        <f>C63+C64-C68+C70</f>
        <v>480221194.8899996</v>
      </c>
      <c r="D72" s="100">
        <f>D63+D64-D68+D70</f>
        <v>480221194.8899996</v>
      </c>
    </row>
    <row r="73" spans="1:4" ht="15">
      <c r="A73" s="34"/>
      <c r="B73" s="93"/>
      <c r="C73" s="93"/>
      <c r="D73" s="93"/>
    </row>
    <row r="74" spans="1:4" ht="15">
      <c r="A74" s="45" t="s">
        <v>219</v>
      </c>
      <c r="B74" s="100">
        <f>B72-B64</f>
        <v>0</v>
      </c>
      <c r="C74" s="100">
        <f>C72-C64</f>
        <v>480221194.8899996</v>
      </c>
      <c r="D74" s="100">
        <f>D72-D64</f>
        <v>480221194.8899996</v>
      </c>
    </row>
    <row r="75" spans="1:4" ht="15">
      <c r="A75" s="35"/>
      <c r="B75" s="43"/>
      <c r="C75" s="43"/>
      <c r="D75" s="43"/>
    </row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2" fitToWidth="1" horizontalDpi="600" verticalDpi="600" orientation="portrait" scale="53" r:id="rId1"/>
  <ignoredErrors>
    <ignoredError sqref="B8:D8 B11:D11 B13:D13 C17:D17 B21:D25 B29:D29 B33:D33 B37:D37 B40:D40 B44:D44 B48:D49 B50:D53 B55:D59 B63:D63 B64:D64 B68:D68 C70:D71 D72:D74 C72 B74:C74 B72:B73 B65:D6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80" zoomScaleNormal="80" zoomScalePageLayoutView="0" workbookViewId="0" topLeftCell="A60">
      <selection activeCell="F65" sqref="F65"/>
    </sheetView>
  </sheetViews>
  <sheetFormatPr defaultColWidth="0" defaultRowHeight="15" zeroHeight="1"/>
  <cols>
    <col min="1" max="1" width="76.7109375" style="0" customWidth="1"/>
    <col min="2" max="7" width="20.7109375" style="0" customWidth="1"/>
    <col min="8" max="16384" width="11.421875" style="0" hidden="1" customWidth="1"/>
  </cols>
  <sheetData>
    <row r="1" spans="1:7" ht="21">
      <c r="A1" s="145" t="s">
        <v>220</v>
      </c>
      <c r="B1" s="145"/>
      <c r="C1" s="145"/>
      <c r="D1" s="145"/>
      <c r="E1" s="145"/>
      <c r="F1" s="145"/>
      <c r="G1" s="145"/>
    </row>
    <row r="2" spans="1:7" ht="15">
      <c r="A2" s="126" t="s">
        <v>291</v>
      </c>
      <c r="B2" s="127"/>
      <c r="C2" s="127"/>
      <c r="D2" s="127"/>
      <c r="E2" s="127"/>
      <c r="F2" s="127"/>
      <c r="G2" s="128"/>
    </row>
    <row r="3" spans="1:7" ht="15">
      <c r="A3" s="129" t="s">
        <v>221</v>
      </c>
      <c r="B3" s="130"/>
      <c r="C3" s="130"/>
      <c r="D3" s="130"/>
      <c r="E3" s="130"/>
      <c r="F3" s="130"/>
      <c r="G3" s="131"/>
    </row>
    <row r="4" spans="1:7" ht="15">
      <c r="A4" s="132" t="s">
        <v>480</v>
      </c>
      <c r="B4" s="133"/>
      <c r="C4" s="133"/>
      <c r="D4" s="133"/>
      <c r="E4" s="133"/>
      <c r="F4" s="133"/>
      <c r="G4" s="134"/>
    </row>
    <row r="5" spans="1:7" ht="15">
      <c r="A5" s="135" t="s">
        <v>2</v>
      </c>
      <c r="B5" s="136"/>
      <c r="C5" s="136"/>
      <c r="D5" s="136"/>
      <c r="E5" s="136"/>
      <c r="F5" s="136"/>
      <c r="G5" s="137"/>
    </row>
    <row r="6" spans="1:7" ht="15">
      <c r="A6" s="142" t="s">
        <v>222</v>
      </c>
      <c r="B6" s="144" t="s">
        <v>223</v>
      </c>
      <c r="C6" s="144"/>
      <c r="D6" s="144"/>
      <c r="E6" s="144"/>
      <c r="F6" s="144"/>
      <c r="G6" s="144" t="s">
        <v>224</v>
      </c>
    </row>
    <row r="7" spans="1:7" ht="30">
      <c r="A7" s="143"/>
      <c r="B7" s="18" t="s">
        <v>225</v>
      </c>
      <c r="C7" s="6" t="s">
        <v>226</v>
      </c>
      <c r="D7" s="18" t="s">
        <v>227</v>
      </c>
      <c r="E7" s="18" t="s">
        <v>182</v>
      </c>
      <c r="F7" s="18" t="s">
        <v>228</v>
      </c>
      <c r="G7" s="144"/>
    </row>
    <row r="8" spans="1:7" ht="15">
      <c r="A8" s="19" t="s">
        <v>229</v>
      </c>
      <c r="B8" s="42"/>
      <c r="C8" s="42"/>
      <c r="D8" s="42"/>
      <c r="E8" s="42"/>
      <c r="F8" s="42"/>
      <c r="G8" s="42"/>
    </row>
    <row r="9" spans="1:7" ht="15">
      <c r="A9" s="116" t="s">
        <v>230</v>
      </c>
      <c r="B9" s="87">
        <v>1398763356</v>
      </c>
      <c r="C9" s="87">
        <v>0</v>
      </c>
      <c r="D9" s="87">
        <v>1398763356</v>
      </c>
      <c r="E9" s="87">
        <v>835366892.2</v>
      </c>
      <c r="F9" s="87">
        <v>835366892.2</v>
      </c>
      <c r="G9" s="87">
        <v>-563396463.8</v>
      </c>
    </row>
    <row r="10" spans="1:7" ht="15">
      <c r="A10" s="116" t="s">
        <v>231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</row>
    <row r="11" spans="1:7" ht="15">
      <c r="A11" s="116" t="s">
        <v>232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</row>
    <row r="12" spans="1:7" ht="15">
      <c r="A12" s="116" t="s">
        <v>233</v>
      </c>
      <c r="B12" s="87">
        <v>572104451</v>
      </c>
      <c r="C12" s="87">
        <v>0</v>
      </c>
      <c r="D12" s="87">
        <v>572104451</v>
      </c>
      <c r="E12" s="87">
        <v>252516535.58</v>
      </c>
      <c r="F12" s="87">
        <v>252516535.58</v>
      </c>
      <c r="G12" s="87">
        <v>-319587915.41999996</v>
      </c>
    </row>
    <row r="13" spans="1:7" ht="15">
      <c r="A13" s="116" t="s">
        <v>234</v>
      </c>
      <c r="B13" s="87">
        <v>67708620</v>
      </c>
      <c r="C13" s="87">
        <v>12557976.84</v>
      </c>
      <c r="D13" s="87">
        <v>80266596.84</v>
      </c>
      <c r="E13" s="87">
        <v>80011452.48</v>
      </c>
      <c r="F13" s="87">
        <v>80011452.48</v>
      </c>
      <c r="G13" s="87">
        <v>12302832.480000004</v>
      </c>
    </row>
    <row r="14" spans="1:7" ht="15">
      <c r="A14" s="116" t="s">
        <v>235</v>
      </c>
      <c r="B14" s="87">
        <v>21173193</v>
      </c>
      <c r="C14" s="87">
        <v>23509919.5</v>
      </c>
      <c r="D14" s="87">
        <v>44683112.5</v>
      </c>
      <c r="E14" s="87">
        <v>37551372.06</v>
      </c>
      <c r="F14" s="87">
        <v>37524154.86</v>
      </c>
      <c r="G14" s="87">
        <v>16350961.86</v>
      </c>
    </row>
    <row r="15" spans="1:7" ht="15">
      <c r="A15" s="116" t="s">
        <v>236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</row>
    <row r="16" spans="1:7" ht="15">
      <c r="A16" s="117" t="s">
        <v>237</v>
      </c>
      <c r="B16" s="87">
        <f aca="true" t="shared" si="0" ref="B16:G16">SUM(B17:B27)</f>
        <v>8654096392</v>
      </c>
      <c r="C16" s="87">
        <f t="shared" si="0"/>
        <v>415670019</v>
      </c>
      <c r="D16" s="87">
        <f t="shared" si="0"/>
        <v>9069766411</v>
      </c>
      <c r="E16" s="87">
        <f t="shared" si="0"/>
        <v>4367433591</v>
      </c>
      <c r="F16" s="87">
        <f t="shared" si="0"/>
        <v>4367433591</v>
      </c>
      <c r="G16" s="87">
        <f t="shared" si="0"/>
        <v>-4286662801</v>
      </c>
    </row>
    <row r="17" spans="1:7" ht="15">
      <c r="A17" s="21" t="s">
        <v>238</v>
      </c>
      <c r="B17" s="85">
        <v>5433110665</v>
      </c>
      <c r="C17" s="85">
        <v>160712583</v>
      </c>
      <c r="D17" s="124">
        <v>5593823248</v>
      </c>
      <c r="E17" s="85">
        <v>2744086315</v>
      </c>
      <c r="F17" s="85">
        <v>2744086315</v>
      </c>
      <c r="G17" s="85">
        <v>-2689024350</v>
      </c>
    </row>
    <row r="18" spans="1:7" ht="15">
      <c r="A18" s="21" t="s">
        <v>239</v>
      </c>
      <c r="B18" s="85">
        <v>373863353</v>
      </c>
      <c r="C18" s="85">
        <v>-7227705</v>
      </c>
      <c r="D18" s="124">
        <v>366635648</v>
      </c>
      <c r="E18" s="85">
        <v>179873194</v>
      </c>
      <c r="F18" s="85">
        <v>179873194</v>
      </c>
      <c r="G18" s="85">
        <v>-193990159</v>
      </c>
    </row>
    <row r="19" spans="1:7" ht="15">
      <c r="A19" s="21" t="s">
        <v>240</v>
      </c>
      <c r="B19" s="85">
        <v>243940589</v>
      </c>
      <c r="C19" s="85">
        <v>326550</v>
      </c>
      <c r="D19" s="124">
        <v>244267139</v>
      </c>
      <c r="E19" s="85">
        <v>121211836</v>
      </c>
      <c r="F19" s="85">
        <v>121211836</v>
      </c>
      <c r="G19" s="85">
        <v>-122728753</v>
      </c>
    </row>
    <row r="20" spans="1:7" ht="15">
      <c r="A20" s="21" t="s">
        <v>241</v>
      </c>
      <c r="B20" s="85">
        <v>0</v>
      </c>
      <c r="C20" s="85">
        <v>0</v>
      </c>
      <c r="D20" s="124">
        <v>0</v>
      </c>
      <c r="E20" s="85">
        <v>0</v>
      </c>
      <c r="F20" s="85">
        <v>0</v>
      </c>
      <c r="G20" s="85">
        <v>0</v>
      </c>
    </row>
    <row r="21" spans="1:7" ht="15">
      <c r="A21" s="21" t="s">
        <v>242</v>
      </c>
      <c r="B21" s="85">
        <v>1811315967</v>
      </c>
      <c r="C21" s="85">
        <v>-86</v>
      </c>
      <c r="D21" s="124">
        <v>1811315881</v>
      </c>
      <c r="E21" s="85">
        <v>894865777</v>
      </c>
      <c r="F21" s="85">
        <v>894865777</v>
      </c>
      <c r="G21" s="85">
        <v>-916450190</v>
      </c>
    </row>
    <row r="22" spans="1:7" ht="15">
      <c r="A22" s="21" t="s">
        <v>243</v>
      </c>
      <c r="B22" s="85">
        <v>65206989</v>
      </c>
      <c r="C22" s="85">
        <v>-580037</v>
      </c>
      <c r="D22" s="124">
        <v>64626952</v>
      </c>
      <c r="E22" s="85">
        <v>25145243</v>
      </c>
      <c r="F22" s="85">
        <v>25145243</v>
      </c>
      <c r="G22" s="85">
        <v>-40061746</v>
      </c>
    </row>
    <row r="23" spans="1:7" ht="15">
      <c r="A23" s="21" t="s">
        <v>244</v>
      </c>
      <c r="B23" s="85">
        <v>0</v>
      </c>
      <c r="C23" s="85">
        <v>0</v>
      </c>
      <c r="D23" s="124">
        <v>0</v>
      </c>
      <c r="E23" s="85">
        <v>0</v>
      </c>
      <c r="F23" s="85">
        <v>0</v>
      </c>
      <c r="G23" s="85">
        <v>0</v>
      </c>
    </row>
    <row r="24" spans="1:7" ht="15">
      <c r="A24" s="21" t="s">
        <v>245</v>
      </c>
      <c r="B24" s="85">
        <v>0</v>
      </c>
      <c r="C24" s="85">
        <v>0</v>
      </c>
      <c r="D24" s="124">
        <v>0</v>
      </c>
      <c r="E24" s="85">
        <v>0</v>
      </c>
      <c r="F24" s="85">
        <v>0</v>
      </c>
      <c r="G24" s="85">
        <v>0</v>
      </c>
    </row>
    <row r="25" spans="1:7" ht="15">
      <c r="A25" s="21" t="s">
        <v>246</v>
      </c>
      <c r="B25" s="85">
        <v>201658829</v>
      </c>
      <c r="C25" s="85">
        <v>-1</v>
      </c>
      <c r="D25" s="124">
        <v>201658828</v>
      </c>
      <c r="E25" s="85">
        <v>76534390</v>
      </c>
      <c r="F25" s="85">
        <v>76534390</v>
      </c>
      <c r="G25" s="85">
        <v>-125124439</v>
      </c>
    </row>
    <row r="26" spans="1:7" ht="15">
      <c r="A26" s="21" t="s">
        <v>247</v>
      </c>
      <c r="B26" s="85">
        <v>525000000</v>
      </c>
      <c r="C26" s="85">
        <v>257894278</v>
      </c>
      <c r="D26" s="124">
        <v>782894278</v>
      </c>
      <c r="E26" s="85">
        <v>321172399</v>
      </c>
      <c r="F26" s="85">
        <v>321172399</v>
      </c>
      <c r="G26" s="85">
        <v>-203827601</v>
      </c>
    </row>
    <row r="27" spans="1:7" ht="15">
      <c r="A27" s="21" t="s">
        <v>248</v>
      </c>
      <c r="B27" s="85">
        <v>0</v>
      </c>
      <c r="C27" s="85">
        <v>4544437</v>
      </c>
      <c r="D27" s="124">
        <v>4544437</v>
      </c>
      <c r="E27" s="85">
        <v>4544437</v>
      </c>
      <c r="F27" s="85">
        <v>4544437</v>
      </c>
      <c r="G27" s="85">
        <v>4544437</v>
      </c>
    </row>
    <row r="28" spans="1:7" ht="15">
      <c r="A28" s="116" t="s">
        <v>249</v>
      </c>
      <c r="B28" s="87">
        <f aca="true" t="shared" si="1" ref="B28:G28">SUM(B29:B33)</f>
        <v>158683350</v>
      </c>
      <c r="C28" s="87">
        <f t="shared" si="1"/>
        <v>6539210</v>
      </c>
      <c r="D28" s="87">
        <f t="shared" si="1"/>
        <v>165222560</v>
      </c>
      <c r="E28" s="87">
        <f t="shared" si="1"/>
        <v>65463342.739999995</v>
      </c>
      <c r="F28" s="87">
        <f t="shared" si="1"/>
        <v>65463342.739999995</v>
      </c>
      <c r="G28" s="87">
        <f t="shared" si="1"/>
        <v>-93220007.26</v>
      </c>
    </row>
    <row r="29" spans="1:7" ht="15">
      <c r="A29" s="21" t="s">
        <v>250</v>
      </c>
      <c r="B29" s="85">
        <v>0</v>
      </c>
      <c r="C29" s="85">
        <v>0</v>
      </c>
      <c r="D29" s="85">
        <v>0</v>
      </c>
      <c r="E29" s="85">
        <v>0</v>
      </c>
      <c r="F29" s="85">
        <v>0</v>
      </c>
      <c r="G29" s="85">
        <v>0</v>
      </c>
    </row>
    <row r="30" spans="1:7" ht="15">
      <c r="A30" s="21" t="s">
        <v>251</v>
      </c>
      <c r="B30" s="85">
        <v>13638673</v>
      </c>
      <c r="C30" s="85">
        <v>-1</v>
      </c>
      <c r="D30" s="85">
        <v>13638672</v>
      </c>
      <c r="E30" s="85">
        <v>6819336</v>
      </c>
      <c r="F30" s="85">
        <v>6819336</v>
      </c>
      <c r="G30" s="85">
        <v>-6819337</v>
      </c>
    </row>
    <row r="31" spans="1:7" ht="15">
      <c r="A31" s="21" t="s">
        <v>252</v>
      </c>
      <c r="B31" s="85">
        <v>46673766</v>
      </c>
      <c r="C31" s="85">
        <v>6539212</v>
      </c>
      <c r="D31" s="85">
        <v>53212978</v>
      </c>
      <c r="E31" s="85">
        <v>19563303</v>
      </c>
      <c r="F31" s="85">
        <v>19563303</v>
      </c>
      <c r="G31" s="85">
        <v>-27110463</v>
      </c>
    </row>
    <row r="32" spans="1:7" ht="15">
      <c r="A32" s="21" t="s">
        <v>253</v>
      </c>
      <c r="B32" s="85">
        <v>14626304</v>
      </c>
      <c r="C32" s="85">
        <v>-1</v>
      </c>
      <c r="D32" s="85">
        <v>14626303</v>
      </c>
      <c r="E32" s="85">
        <v>7820408</v>
      </c>
      <c r="F32" s="85">
        <v>7820408</v>
      </c>
      <c r="G32" s="85">
        <v>-6805896</v>
      </c>
    </row>
    <row r="33" spans="1:7" ht="15">
      <c r="A33" s="21" t="s">
        <v>254</v>
      </c>
      <c r="B33" s="85">
        <v>83744607</v>
      </c>
      <c r="C33" s="85">
        <v>0</v>
      </c>
      <c r="D33" s="85">
        <v>83744607</v>
      </c>
      <c r="E33" s="85">
        <v>31260295.74</v>
      </c>
      <c r="F33" s="85">
        <v>31260295.74</v>
      </c>
      <c r="G33" s="85">
        <v>-52484311.260000005</v>
      </c>
    </row>
    <row r="34" spans="1:7" ht="15">
      <c r="A34" s="116" t="s">
        <v>255</v>
      </c>
      <c r="B34" s="87">
        <v>0</v>
      </c>
      <c r="C34" s="87">
        <v>0</v>
      </c>
      <c r="D34" s="87">
        <v>0</v>
      </c>
      <c r="E34" s="87">
        <v>0</v>
      </c>
      <c r="F34" s="87">
        <v>0</v>
      </c>
      <c r="G34" s="87">
        <f>F34-B34</f>
        <v>0</v>
      </c>
    </row>
    <row r="35" spans="1:7" ht="15">
      <c r="A35" s="116" t="s">
        <v>256</v>
      </c>
      <c r="B35" s="87">
        <f aca="true" t="shared" si="2" ref="B35:G35">B36</f>
        <v>0</v>
      </c>
      <c r="C35" s="87">
        <f t="shared" si="2"/>
        <v>2116286.7</v>
      </c>
      <c r="D35" s="87">
        <f t="shared" si="2"/>
        <v>2116286.7</v>
      </c>
      <c r="E35" s="87">
        <f t="shared" si="2"/>
        <v>2116286.7</v>
      </c>
      <c r="F35" s="87">
        <f t="shared" si="2"/>
        <v>2116286.7</v>
      </c>
      <c r="G35" s="87">
        <f t="shared" si="2"/>
        <v>2116286.7</v>
      </c>
    </row>
    <row r="36" spans="1:7" ht="15">
      <c r="A36" s="21" t="s">
        <v>257</v>
      </c>
      <c r="B36" s="85">
        <v>0</v>
      </c>
      <c r="C36" s="85">
        <v>2116286.7</v>
      </c>
      <c r="D36" s="85">
        <v>2116286.7</v>
      </c>
      <c r="E36" s="85">
        <v>2116286.7</v>
      </c>
      <c r="F36" s="85">
        <v>2116286.7</v>
      </c>
      <c r="G36" s="85">
        <v>2116286.7</v>
      </c>
    </row>
    <row r="37" spans="1:7" ht="15">
      <c r="A37" s="116" t="s">
        <v>258</v>
      </c>
      <c r="B37" s="87">
        <f>B38+B39</f>
        <v>0</v>
      </c>
      <c r="C37" s="87">
        <v>0</v>
      </c>
      <c r="D37" s="87">
        <v>0</v>
      </c>
      <c r="E37" s="87">
        <v>0</v>
      </c>
      <c r="F37" s="87">
        <v>0</v>
      </c>
      <c r="G37" s="87">
        <f>G38+G39</f>
        <v>0</v>
      </c>
    </row>
    <row r="38" spans="1:7" ht="15">
      <c r="A38" s="21" t="s">
        <v>259</v>
      </c>
      <c r="B38" s="85">
        <v>0</v>
      </c>
      <c r="C38" s="85">
        <v>0</v>
      </c>
      <c r="D38" s="85">
        <f>+B38+C38</f>
        <v>0</v>
      </c>
      <c r="E38" s="85">
        <v>0</v>
      </c>
      <c r="F38" s="85">
        <v>0</v>
      </c>
      <c r="G38" s="85">
        <f>+F38-B38</f>
        <v>0</v>
      </c>
    </row>
    <row r="39" spans="1:7" ht="15">
      <c r="A39" s="21" t="s">
        <v>260</v>
      </c>
      <c r="B39" s="85">
        <v>0</v>
      </c>
      <c r="C39" s="85">
        <v>0</v>
      </c>
      <c r="D39" s="85">
        <f>+B39+C39</f>
        <v>0</v>
      </c>
      <c r="E39" s="85">
        <v>0</v>
      </c>
      <c r="F39" s="85">
        <v>0</v>
      </c>
      <c r="G39" s="85">
        <f>+F39-B39</f>
        <v>0</v>
      </c>
    </row>
    <row r="40" spans="1:7" ht="15">
      <c r="A40" s="34"/>
      <c r="B40" s="85"/>
      <c r="C40" s="85"/>
      <c r="D40" s="85"/>
      <c r="E40" s="85"/>
      <c r="F40" s="85"/>
      <c r="G40" s="85"/>
    </row>
    <row r="41" spans="1:7" ht="15">
      <c r="A41" s="23" t="s">
        <v>261</v>
      </c>
      <c r="B41" s="87">
        <f aca="true" t="shared" si="3" ref="B41:G41">SUM(B9,B10,B11,B12,B13,B14,B15,B16,B28,B34,B35,B37)</f>
        <v>10872529362</v>
      </c>
      <c r="C41" s="87">
        <f t="shared" si="3"/>
        <v>460393412.04</v>
      </c>
      <c r="D41" s="87">
        <f t="shared" si="3"/>
        <v>11332922774.04</v>
      </c>
      <c r="E41" s="87">
        <f t="shared" si="3"/>
        <v>5640459472.759999</v>
      </c>
      <c r="F41" s="87">
        <f t="shared" si="3"/>
        <v>5640432255.559999</v>
      </c>
      <c r="G41" s="87">
        <f t="shared" si="3"/>
        <v>-5232097106.440001</v>
      </c>
    </row>
    <row r="42" spans="1:7" ht="15">
      <c r="A42" s="23" t="s">
        <v>262</v>
      </c>
      <c r="B42" s="99"/>
      <c r="C42" s="99"/>
      <c r="D42" s="99"/>
      <c r="E42" s="99"/>
      <c r="F42" s="99"/>
      <c r="G42" s="94">
        <f>IF(G41&gt;0,G41,0)</f>
        <v>0</v>
      </c>
    </row>
    <row r="43" spans="1:7" ht="15">
      <c r="A43" s="34"/>
      <c r="B43" s="86"/>
      <c r="C43" s="86"/>
      <c r="D43" s="86"/>
      <c r="E43" s="86"/>
      <c r="F43" s="86"/>
      <c r="G43" s="86"/>
    </row>
    <row r="44" spans="1:7" ht="15">
      <c r="A44" s="23" t="s">
        <v>263</v>
      </c>
      <c r="B44" s="86"/>
      <c r="C44" s="86"/>
      <c r="D44" s="86"/>
      <c r="E44" s="86"/>
      <c r="F44" s="86"/>
      <c r="G44" s="86"/>
    </row>
    <row r="45" spans="1:7" ht="15">
      <c r="A45" s="116" t="s">
        <v>264</v>
      </c>
      <c r="B45" s="87">
        <f aca="true" t="shared" si="4" ref="B45:G45">SUM(B46:B53)</f>
        <v>8866648745</v>
      </c>
      <c r="C45" s="87">
        <f t="shared" si="4"/>
        <v>60676162</v>
      </c>
      <c r="D45" s="87">
        <f t="shared" si="4"/>
        <v>8927324907</v>
      </c>
      <c r="E45" s="87">
        <f t="shared" si="4"/>
        <v>4146051407.46</v>
      </c>
      <c r="F45" s="87">
        <f t="shared" si="4"/>
        <v>4146051407.46</v>
      </c>
      <c r="G45" s="87">
        <f t="shared" si="4"/>
        <v>-4720597337.54</v>
      </c>
    </row>
    <row r="46" spans="1:7" ht="15">
      <c r="A46" s="37" t="s">
        <v>265</v>
      </c>
      <c r="B46" s="85">
        <v>4626908122</v>
      </c>
      <c r="C46" s="85">
        <v>0</v>
      </c>
      <c r="D46" s="85">
        <v>4626908122</v>
      </c>
      <c r="E46" s="85">
        <v>1940510656.49</v>
      </c>
      <c r="F46" s="85">
        <v>1940510656.49</v>
      </c>
      <c r="G46" s="85">
        <v>-2686397465.51</v>
      </c>
    </row>
    <row r="47" spans="1:7" ht="15">
      <c r="A47" s="37" t="s">
        <v>266</v>
      </c>
      <c r="B47" s="85">
        <v>1703669006</v>
      </c>
      <c r="C47" s="85">
        <v>0</v>
      </c>
      <c r="D47" s="85">
        <v>1703669006</v>
      </c>
      <c r="E47" s="85">
        <v>797775319.97</v>
      </c>
      <c r="F47" s="85">
        <v>797775319.97</v>
      </c>
      <c r="G47" s="85">
        <v>-905893686.03</v>
      </c>
    </row>
    <row r="48" spans="1:7" ht="15">
      <c r="A48" s="37" t="s">
        <v>267</v>
      </c>
      <c r="B48" s="85">
        <v>934727788</v>
      </c>
      <c r="C48" s="85">
        <v>-10854606</v>
      </c>
      <c r="D48" s="85">
        <v>923873182</v>
      </c>
      <c r="E48" s="85">
        <v>554323908</v>
      </c>
      <c r="F48" s="85">
        <v>554323908</v>
      </c>
      <c r="G48" s="85">
        <v>-380403880</v>
      </c>
    </row>
    <row r="49" spans="1:7" ht="30">
      <c r="A49" s="37" t="s">
        <v>268</v>
      </c>
      <c r="B49" s="85">
        <v>652812688</v>
      </c>
      <c r="C49" s="85">
        <v>1521143</v>
      </c>
      <c r="D49" s="85">
        <v>654333831</v>
      </c>
      <c r="E49" s="85">
        <v>327166914</v>
      </c>
      <c r="F49" s="85">
        <v>327166914</v>
      </c>
      <c r="G49" s="85">
        <v>-325645774</v>
      </c>
    </row>
    <row r="50" spans="1:7" ht="15">
      <c r="A50" s="37" t="s">
        <v>269</v>
      </c>
      <c r="B50" s="85">
        <v>400376301</v>
      </c>
      <c r="C50" s="85">
        <v>61275651</v>
      </c>
      <c r="D50" s="85">
        <v>461651952</v>
      </c>
      <c r="E50" s="85">
        <v>231445602</v>
      </c>
      <c r="F50" s="85">
        <v>231445602</v>
      </c>
      <c r="G50" s="85">
        <v>-168930699</v>
      </c>
    </row>
    <row r="51" spans="1:7" ht="15">
      <c r="A51" s="37" t="s">
        <v>270</v>
      </c>
      <c r="B51" s="85">
        <v>110939582</v>
      </c>
      <c r="C51" s="85">
        <v>0</v>
      </c>
      <c r="D51" s="85">
        <v>110939582</v>
      </c>
      <c r="E51" s="85">
        <v>53809595</v>
      </c>
      <c r="F51" s="85">
        <v>53809595</v>
      </c>
      <c r="G51" s="85">
        <v>-57129987</v>
      </c>
    </row>
    <row r="52" spans="1:7" ht="29.25" customHeight="1">
      <c r="A52" s="38" t="s">
        <v>271</v>
      </c>
      <c r="B52" s="85">
        <v>171658496</v>
      </c>
      <c r="C52" s="85">
        <v>11115736</v>
      </c>
      <c r="D52" s="85">
        <v>182774232</v>
      </c>
      <c r="E52" s="85">
        <v>109431912</v>
      </c>
      <c r="F52" s="85">
        <v>109431912</v>
      </c>
      <c r="G52" s="85">
        <v>-62226584</v>
      </c>
    </row>
    <row r="53" spans="1:7" ht="27.75" customHeight="1">
      <c r="A53" s="37" t="s">
        <v>272</v>
      </c>
      <c r="B53" s="85">
        <v>265556762</v>
      </c>
      <c r="C53" s="85">
        <v>-2381762</v>
      </c>
      <c r="D53" s="85">
        <v>263175000</v>
      </c>
      <c r="E53" s="85">
        <v>131587500</v>
      </c>
      <c r="F53" s="85">
        <v>131587500</v>
      </c>
      <c r="G53" s="85">
        <v>-133969262</v>
      </c>
    </row>
    <row r="54" spans="1:7" ht="15">
      <c r="A54" s="116" t="s">
        <v>273</v>
      </c>
      <c r="B54" s="87">
        <f aca="true" t="shared" si="5" ref="B54:G54">SUM(B55:B58)</f>
        <v>1769046318</v>
      </c>
      <c r="C54" s="87">
        <f t="shared" si="5"/>
        <v>955841303.48</v>
      </c>
      <c r="D54" s="87">
        <f t="shared" si="5"/>
        <v>2724887621.48</v>
      </c>
      <c r="E54" s="87">
        <f t="shared" si="5"/>
        <v>1584576731.8999999</v>
      </c>
      <c r="F54" s="87">
        <f t="shared" si="5"/>
        <v>1584576731.8999999</v>
      </c>
      <c r="G54" s="87">
        <f t="shared" si="5"/>
        <v>-184469586.10000008</v>
      </c>
    </row>
    <row r="55" spans="1:7" ht="15">
      <c r="A55" s="38" t="s">
        <v>274</v>
      </c>
      <c r="B55" s="85">
        <v>335000000</v>
      </c>
      <c r="C55" s="85">
        <v>0</v>
      </c>
      <c r="D55" s="85">
        <v>335000000</v>
      </c>
      <c r="E55" s="85">
        <v>0</v>
      </c>
      <c r="F55" s="85">
        <v>0</v>
      </c>
      <c r="G55" s="85">
        <v>-335000000</v>
      </c>
    </row>
    <row r="56" spans="1:7" ht="15">
      <c r="A56" s="37" t="s">
        <v>275</v>
      </c>
      <c r="B56" s="85">
        <v>1434046318</v>
      </c>
      <c r="C56" s="85">
        <v>950901331.34</v>
      </c>
      <c r="D56" s="85">
        <v>2384947649.34</v>
      </c>
      <c r="E56" s="85">
        <v>1581513470.83</v>
      </c>
      <c r="F56" s="85">
        <v>1581513470.83</v>
      </c>
      <c r="G56" s="85">
        <v>147467152.82999992</v>
      </c>
    </row>
    <row r="57" spans="1:7" ht="15">
      <c r="A57" s="37" t="s">
        <v>276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</row>
    <row r="58" spans="1:7" ht="15">
      <c r="A58" s="38" t="s">
        <v>277</v>
      </c>
      <c r="B58" s="85">
        <v>0</v>
      </c>
      <c r="C58" s="85">
        <v>4939972.14</v>
      </c>
      <c r="D58" s="85">
        <v>4939972.14</v>
      </c>
      <c r="E58" s="85">
        <v>3063261.07</v>
      </c>
      <c r="F58" s="85">
        <v>3063261.07</v>
      </c>
      <c r="G58" s="85">
        <v>3063261.07</v>
      </c>
    </row>
    <row r="59" spans="1:7" ht="15">
      <c r="A59" s="116" t="s">
        <v>278</v>
      </c>
      <c r="B59" s="87">
        <f aca="true" t="shared" si="6" ref="B59:G59">SUM(B60:B61)</f>
        <v>474517442</v>
      </c>
      <c r="C59" s="87">
        <f t="shared" si="6"/>
        <v>0</v>
      </c>
      <c r="D59" s="87">
        <f t="shared" si="6"/>
        <v>474517442</v>
      </c>
      <c r="E59" s="87">
        <f t="shared" si="6"/>
        <v>208033445</v>
      </c>
      <c r="F59" s="87">
        <f t="shared" si="6"/>
        <v>208033445</v>
      </c>
      <c r="G59" s="87">
        <f t="shared" si="6"/>
        <v>-266483997</v>
      </c>
    </row>
    <row r="60" spans="1:7" ht="30">
      <c r="A60" s="37" t="s">
        <v>279</v>
      </c>
      <c r="B60" s="85">
        <v>474517442</v>
      </c>
      <c r="C60" s="85">
        <v>0</v>
      </c>
      <c r="D60" s="85">
        <v>474517442</v>
      </c>
      <c r="E60" s="85">
        <v>208033445</v>
      </c>
      <c r="F60" s="85">
        <v>208033445</v>
      </c>
      <c r="G60" s="85">
        <v>-266483997</v>
      </c>
    </row>
    <row r="61" spans="1:7" ht="15">
      <c r="A61" s="37" t="s">
        <v>280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</row>
    <row r="62" spans="1:7" ht="15">
      <c r="A62" s="116" t="s">
        <v>281</v>
      </c>
      <c r="B62" s="87">
        <v>0</v>
      </c>
      <c r="C62" s="87">
        <v>0</v>
      </c>
      <c r="D62" s="87">
        <f>+B62+C62</f>
        <v>0</v>
      </c>
      <c r="E62" s="87">
        <v>0</v>
      </c>
      <c r="F62" s="87">
        <v>0</v>
      </c>
      <c r="G62" s="87">
        <f>F62-B62</f>
        <v>0</v>
      </c>
    </row>
    <row r="63" spans="1:7" ht="15">
      <c r="A63" s="116" t="s">
        <v>282</v>
      </c>
      <c r="B63" s="87">
        <v>0</v>
      </c>
      <c r="C63" s="87">
        <v>0</v>
      </c>
      <c r="D63" s="87">
        <f>+B63+C63</f>
        <v>0</v>
      </c>
      <c r="E63" s="87">
        <v>0</v>
      </c>
      <c r="F63" s="87">
        <v>0</v>
      </c>
      <c r="G63" s="87">
        <f>F63-B63</f>
        <v>0</v>
      </c>
    </row>
    <row r="64" spans="1:7" ht="15">
      <c r="A64" s="34"/>
      <c r="B64" s="86"/>
      <c r="C64" s="86"/>
      <c r="D64" s="86"/>
      <c r="E64" s="86"/>
      <c r="F64" s="86"/>
      <c r="G64" s="86"/>
    </row>
    <row r="65" spans="1:7" ht="15">
      <c r="A65" s="23" t="s">
        <v>283</v>
      </c>
      <c r="B65" s="87">
        <f aca="true" t="shared" si="7" ref="B65:G65">B45+B54+B59+B62+B63</f>
        <v>11110212505</v>
      </c>
      <c r="C65" s="87">
        <f t="shared" si="7"/>
        <v>1016517465.48</v>
      </c>
      <c r="D65" s="87">
        <f t="shared" si="7"/>
        <v>12126729970.48</v>
      </c>
      <c r="E65" s="87">
        <f t="shared" si="7"/>
        <v>5938661584.36</v>
      </c>
      <c r="F65" s="87">
        <f t="shared" si="7"/>
        <v>5938661584.36</v>
      </c>
      <c r="G65" s="87">
        <f t="shared" si="7"/>
        <v>-5171550920.64</v>
      </c>
    </row>
    <row r="66" spans="1:7" ht="15">
      <c r="A66" s="34"/>
      <c r="B66" s="86"/>
      <c r="C66" s="86"/>
      <c r="D66" s="86"/>
      <c r="E66" s="86"/>
      <c r="F66" s="86"/>
      <c r="G66" s="86"/>
    </row>
    <row r="67" spans="1:7" ht="15">
      <c r="A67" s="23" t="s">
        <v>284</v>
      </c>
      <c r="B67" s="87">
        <f aca="true" t="shared" si="8" ref="B67:G67">B68</f>
        <v>0</v>
      </c>
      <c r="C67" s="87">
        <f t="shared" si="8"/>
        <v>0</v>
      </c>
      <c r="D67" s="87">
        <f t="shared" si="8"/>
        <v>0</v>
      </c>
      <c r="E67" s="87">
        <f t="shared" si="8"/>
        <v>0</v>
      </c>
      <c r="F67" s="87">
        <f t="shared" si="8"/>
        <v>0</v>
      </c>
      <c r="G67" s="87">
        <f t="shared" si="8"/>
        <v>0</v>
      </c>
    </row>
    <row r="68" spans="1:7" ht="15">
      <c r="A68" s="20" t="s">
        <v>285</v>
      </c>
      <c r="B68" s="85">
        <v>0</v>
      </c>
      <c r="C68" s="85">
        <v>0</v>
      </c>
      <c r="D68" s="85">
        <f>+B68+C68</f>
        <v>0</v>
      </c>
      <c r="E68" s="85">
        <v>0</v>
      </c>
      <c r="F68" s="85">
        <v>0</v>
      </c>
      <c r="G68" s="85">
        <f>+F68-B68</f>
        <v>0</v>
      </c>
    </row>
    <row r="69" spans="1:7" ht="15">
      <c r="A69" s="34"/>
      <c r="B69" s="86"/>
      <c r="C69" s="86"/>
      <c r="D69" s="86"/>
      <c r="E69" s="86"/>
      <c r="F69" s="86"/>
      <c r="G69" s="86"/>
    </row>
    <row r="70" spans="1:7" ht="15">
      <c r="A70" s="23" t="s">
        <v>286</v>
      </c>
      <c r="B70" s="87">
        <f aca="true" t="shared" si="9" ref="B70:G70">B41+B65+B67</f>
        <v>21982741867</v>
      </c>
      <c r="C70" s="87">
        <f t="shared" si="9"/>
        <v>1476910877.52</v>
      </c>
      <c r="D70" s="87">
        <f t="shared" si="9"/>
        <v>23459652744.52</v>
      </c>
      <c r="E70" s="87">
        <f t="shared" si="9"/>
        <v>11579121057.119999</v>
      </c>
      <c r="F70" s="87">
        <f t="shared" si="9"/>
        <v>11579093839.919998</v>
      </c>
      <c r="G70" s="87">
        <f t="shared" si="9"/>
        <v>-10403648027.080002</v>
      </c>
    </row>
    <row r="71" spans="1:7" ht="15">
      <c r="A71" s="34"/>
      <c r="B71" s="86"/>
      <c r="C71" s="86"/>
      <c r="D71" s="86"/>
      <c r="E71" s="86"/>
      <c r="F71" s="86"/>
      <c r="G71" s="86"/>
    </row>
    <row r="72" spans="1:7" ht="15">
      <c r="A72" s="23" t="s">
        <v>287</v>
      </c>
      <c r="B72" s="86"/>
      <c r="C72" s="86"/>
      <c r="D72" s="86"/>
      <c r="E72" s="86"/>
      <c r="F72" s="86"/>
      <c r="G72" s="86"/>
    </row>
    <row r="73" spans="1:7" ht="30">
      <c r="A73" s="44" t="s">
        <v>288</v>
      </c>
      <c r="B73" s="85">
        <v>0</v>
      </c>
      <c r="C73" s="85">
        <v>0</v>
      </c>
      <c r="D73" s="85">
        <v>0</v>
      </c>
      <c r="E73" s="85">
        <v>0</v>
      </c>
      <c r="F73" s="85">
        <v>0</v>
      </c>
      <c r="G73" s="85">
        <f>F73-B73</f>
        <v>0</v>
      </c>
    </row>
    <row r="74" spans="1:7" ht="30">
      <c r="A74" s="44" t="s">
        <v>289</v>
      </c>
      <c r="B74" s="85">
        <v>0</v>
      </c>
      <c r="C74" s="85">
        <v>0</v>
      </c>
      <c r="D74" s="85">
        <v>0</v>
      </c>
      <c r="E74" s="85">
        <v>0</v>
      </c>
      <c r="F74" s="85">
        <v>0</v>
      </c>
      <c r="G74" s="85">
        <f>F74-B74</f>
        <v>0</v>
      </c>
    </row>
    <row r="75" spans="1:7" ht="15">
      <c r="A75" s="45" t="s">
        <v>290</v>
      </c>
      <c r="B75" s="87">
        <f aca="true" t="shared" si="10" ref="B75:G75">B73+B74</f>
        <v>0</v>
      </c>
      <c r="C75" s="87">
        <f t="shared" si="10"/>
        <v>0</v>
      </c>
      <c r="D75" s="87">
        <f t="shared" si="10"/>
        <v>0</v>
      </c>
      <c r="E75" s="87">
        <f t="shared" si="10"/>
        <v>0</v>
      </c>
      <c r="F75" s="87">
        <f t="shared" si="10"/>
        <v>0</v>
      </c>
      <c r="G75" s="87">
        <f t="shared" si="10"/>
        <v>0</v>
      </c>
    </row>
    <row r="76" spans="1:7" ht="15">
      <c r="A76" s="35"/>
      <c r="B76" s="43"/>
      <c r="C76" s="43"/>
      <c r="D76" s="43"/>
      <c r="E76" s="43"/>
      <c r="F76" s="43"/>
      <c r="G76" s="43"/>
    </row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scale="47" r:id="rId1"/>
  <ignoredErrors>
    <ignoredError sqref="B16:C16 B35 B37 B41:F41 B45:G45 B54:C54 B65:G65 B67:F67 B70:G70 B75:G75 G67:G68 G73:G74 G62:G63 G16 G35 G38:G39 G41:G42 C35:F35 E16:F16 D38:D39 E54:F54 D62:D63 D68" unlockedFormula="1"/>
    <ignoredError sqref="G54 G40 G37 G34 G28 G59 D16 D54 B59:C59 B28 C28 E28:F28 E59:F59 D28 D59" formula="1" unlockedFormula="1"/>
    <ignoredError sqref="B59:C59 B28 C28 E28:F28 E59:F59" formulaRange="1" unlockedFormula="1"/>
    <ignoredError sqref="D28 D59" formula="1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zoomScalePageLayoutView="0" workbookViewId="0" topLeftCell="B66">
      <selection activeCell="F76" sqref="E76:F76"/>
    </sheetView>
  </sheetViews>
  <sheetFormatPr defaultColWidth="0" defaultRowHeight="15" zeroHeight="1"/>
  <cols>
    <col min="1" max="1" width="102.8515625" style="0" customWidth="1"/>
    <col min="2" max="6" width="20.7109375" style="0" customWidth="1"/>
    <col min="7" max="7" width="17.57421875" style="0" customWidth="1"/>
    <col min="8" max="16384" width="11.421875" style="0" hidden="1" customWidth="1"/>
  </cols>
  <sheetData>
    <row r="1" spans="1:7" ht="21">
      <c r="A1" s="148" t="s">
        <v>292</v>
      </c>
      <c r="B1" s="145"/>
      <c r="C1" s="145"/>
      <c r="D1" s="145"/>
      <c r="E1" s="145"/>
      <c r="F1" s="145"/>
      <c r="G1" s="145"/>
    </row>
    <row r="2" spans="1:7" ht="15">
      <c r="A2" s="149" t="s">
        <v>291</v>
      </c>
      <c r="B2" s="149"/>
      <c r="C2" s="149"/>
      <c r="D2" s="149"/>
      <c r="E2" s="149"/>
      <c r="F2" s="149"/>
      <c r="G2" s="149"/>
    </row>
    <row r="3" spans="1:7" ht="15">
      <c r="A3" s="150" t="s">
        <v>293</v>
      </c>
      <c r="B3" s="150"/>
      <c r="C3" s="150"/>
      <c r="D3" s="150"/>
      <c r="E3" s="150"/>
      <c r="F3" s="150"/>
      <c r="G3" s="150"/>
    </row>
    <row r="4" spans="1:7" ht="15">
      <c r="A4" s="150" t="s">
        <v>294</v>
      </c>
      <c r="B4" s="150"/>
      <c r="C4" s="150"/>
      <c r="D4" s="150"/>
      <c r="E4" s="150"/>
      <c r="F4" s="150"/>
      <c r="G4" s="150"/>
    </row>
    <row r="5" spans="1:7" ht="15">
      <c r="A5" s="132" t="s">
        <v>484</v>
      </c>
      <c r="B5" s="133"/>
      <c r="C5" s="133"/>
      <c r="D5" s="133"/>
      <c r="E5" s="133"/>
      <c r="F5" s="133"/>
      <c r="G5" s="134"/>
    </row>
    <row r="6" spans="1:7" ht="15">
      <c r="A6" s="143" t="s">
        <v>2</v>
      </c>
      <c r="B6" s="143"/>
      <c r="C6" s="143"/>
      <c r="D6" s="143"/>
      <c r="E6" s="143"/>
      <c r="F6" s="143"/>
      <c r="G6" s="143"/>
    </row>
    <row r="7" spans="1:7" ht="15">
      <c r="A7" s="146" t="s">
        <v>4</v>
      </c>
      <c r="B7" s="146" t="s">
        <v>295</v>
      </c>
      <c r="C7" s="146"/>
      <c r="D7" s="146"/>
      <c r="E7" s="146"/>
      <c r="F7" s="146"/>
      <c r="G7" s="147" t="s">
        <v>296</v>
      </c>
    </row>
    <row r="8" spans="1:7" ht="30">
      <c r="A8" s="146"/>
      <c r="B8" s="6" t="s">
        <v>297</v>
      </c>
      <c r="C8" s="6" t="s">
        <v>298</v>
      </c>
      <c r="D8" s="6" t="s">
        <v>299</v>
      </c>
      <c r="E8" s="6" t="s">
        <v>182</v>
      </c>
      <c r="F8" s="6" t="s">
        <v>300</v>
      </c>
      <c r="G8" s="146"/>
    </row>
    <row r="9" spans="1:7" ht="15">
      <c r="A9" s="19" t="s">
        <v>301</v>
      </c>
      <c r="B9" s="87">
        <f aca="true" t="shared" si="0" ref="B9:G9">SUM(B10,B18,B28,B38,B48,B58,B62,B71,B75)</f>
        <v>10872529362</v>
      </c>
      <c r="C9" s="87">
        <f t="shared" si="0"/>
        <v>1346851816.08</v>
      </c>
      <c r="D9" s="87">
        <f t="shared" si="0"/>
        <v>12219381178.08</v>
      </c>
      <c r="E9" s="87">
        <f t="shared" si="0"/>
        <v>5269359449.01</v>
      </c>
      <c r="F9" s="87">
        <f t="shared" si="0"/>
        <v>5197353800.66</v>
      </c>
      <c r="G9" s="87">
        <f t="shared" si="0"/>
        <v>6950021729.07</v>
      </c>
    </row>
    <row r="10" spans="1:7" ht="15">
      <c r="A10" s="20" t="s">
        <v>302</v>
      </c>
      <c r="B10" s="85">
        <f aca="true" t="shared" si="1" ref="B10:G10">SUM(B11:B17)</f>
        <v>2374977405</v>
      </c>
      <c r="C10" s="85">
        <f t="shared" si="1"/>
        <v>3122128.46</v>
      </c>
      <c r="D10" s="85">
        <f t="shared" si="1"/>
        <v>2378099533.46</v>
      </c>
      <c r="E10" s="85">
        <f t="shared" si="1"/>
        <v>1005195200.15</v>
      </c>
      <c r="F10" s="85">
        <f t="shared" si="1"/>
        <v>1005195200.15</v>
      </c>
      <c r="G10" s="85">
        <f t="shared" si="1"/>
        <v>1372904333.31</v>
      </c>
    </row>
    <row r="11" spans="1:7" ht="15">
      <c r="A11" s="21" t="s">
        <v>303</v>
      </c>
      <c r="B11" s="85">
        <v>1186391058</v>
      </c>
      <c r="C11" s="85">
        <v>-7815176.37</v>
      </c>
      <c r="D11" s="85">
        <v>1178575881.63</v>
      </c>
      <c r="E11" s="85">
        <v>572486628.62</v>
      </c>
      <c r="F11" s="85">
        <v>572486628.62</v>
      </c>
      <c r="G11" s="85">
        <f aca="true" t="shared" si="2" ref="G11:G17">D11-E11</f>
        <v>606089253.0100001</v>
      </c>
    </row>
    <row r="12" spans="1:7" ht="15">
      <c r="A12" s="21" t="s">
        <v>304</v>
      </c>
      <c r="B12" s="85">
        <v>67457007</v>
      </c>
      <c r="C12" s="85">
        <v>1740681.41</v>
      </c>
      <c r="D12" s="85">
        <v>69197688.41</v>
      </c>
      <c r="E12" s="85">
        <v>25883390.36</v>
      </c>
      <c r="F12" s="85">
        <v>25883390.36</v>
      </c>
      <c r="G12" s="85">
        <f t="shared" si="2"/>
        <v>43314298.05</v>
      </c>
    </row>
    <row r="13" spans="1:7" ht="15">
      <c r="A13" s="21" t="s">
        <v>305</v>
      </c>
      <c r="B13" s="85">
        <v>567681396</v>
      </c>
      <c r="C13" s="85">
        <v>2803011.18</v>
      </c>
      <c r="D13" s="85">
        <v>570484407.18</v>
      </c>
      <c r="E13" s="85">
        <v>164129147.77</v>
      </c>
      <c r="F13" s="85">
        <v>164129147.77</v>
      </c>
      <c r="G13" s="85">
        <f t="shared" si="2"/>
        <v>406355259.40999997</v>
      </c>
    </row>
    <row r="14" spans="1:7" ht="15">
      <c r="A14" s="21" t="s">
        <v>306</v>
      </c>
      <c r="B14" s="85">
        <v>536117025</v>
      </c>
      <c r="C14" s="85">
        <v>-324071.19</v>
      </c>
      <c r="D14" s="85">
        <v>535792953.81</v>
      </c>
      <c r="E14" s="85">
        <v>233489636.97</v>
      </c>
      <c r="F14" s="85">
        <v>233489636.97</v>
      </c>
      <c r="G14" s="85">
        <f t="shared" si="2"/>
        <v>302303316.84000003</v>
      </c>
    </row>
    <row r="15" spans="1:7" ht="15">
      <c r="A15" s="21" t="s">
        <v>307</v>
      </c>
      <c r="B15" s="85">
        <v>2154510</v>
      </c>
      <c r="C15" s="85">
        <v>7051886.43</v>
      </c>
      <c r="D15" s="85">
        <v>9206396.43</v>
      </c>
      <c r="E15" s="85">
        <v>9206396.43</v>
      </c>
      <c r="F15" s="85">
        <v>9206396.43</v>
      </c>
      <c r="G15" s="85">
        <f t="shared" si="2"/>
        <v>0</v>
      </c>
    </row>
    <row r="16" spans="1:7" ht="15">
      <c r="A16" s="21" t="s">
        <v>308</v>
      </c>
      <c r="B16" s="85">
        <v>15176409</v>
      </c>
      <c r="C16" s="85">
        <v>-334203</v>
      </c>
      <c r="D16" s="85">
        <v>14842206</v>
      </c>
      <c r="E16" s="85">
        <v>0</v>
      </c>
      <c r="F16" s="85">
        <v>0</v>
      </c>
      <c r="G16" s="85">
        <f t="shared" si="2"/>
        <v>14842206</v>
      </c>
    </row>
    <row r="17" spans="1:7" ht="15">
      <c r="A17" s="21" t="s">
        <v>309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f t="shared" si="2"/>
        <v>0</v>
      </c>
    </row>
    <row r="18" spans="1:7" ht="15">
      <c r="A18" s="20" t="s">
        <v>310</v>
      </c>
      <c r="B18" s="85">
        <f aca="true" t="shared" si="3" ref="B18:G18">SUM(B19:B27)</f>
        <v>405303614</v>
      </c>
      <c r="C18" s="85">
        <f t="shared" si="3"/>
        <v>15148551.820000004</v>
      </c>
      <c r="D18" s="85">
        <f t="shared" si="3"/>
        <v>420452165.82</v>
      </c>
      <c r="E18" s="85">
        <f t="shared" si="3"/>
        <v>197060433.77</v>
      </c>
      <c r="F18" s="85">
        <f t="shared" si="3"/>
        <v>196905528.3</v>
      </c>
      <c r="G18" s="85">
        <f t="shared" si="3"/>
        <v>223391732.05</v>
      </c>
    </row>
    <row r="19" spans="1:7" ht="15">
      <c r="A19" s="21" t="s">
        <v>311</v>
      </c>
      <c r="B19" s="85">
        <v>107581025</v>
      </c>
      <c r="C19" s="85">
        <v>17862089.89</v>
      </c>
      <c r="D19" s="85">
        <v>125443114.89</v>
      </c>
      <c r="E19" s="85">
        <v>78301229.07</v>
      </c>
      <c r="F19" s="85">
        <v>78258536.81</v>
      </c>
      <c r="G19" s="85">
        <f>D19-E19</f>
        <v>47141885.82000001</v>
      </c>
    </row>
    <row r="20" spans="1:7" ht="15">
      <c r="A20" s="21" t="s">
        <v>312</v>
      </c>
      <c r="B20" s="85">
        <v>55073306</v>
      </c>
      <c r="C20" s="85">
        <v>-234800.58</v>
      </c>
      <c r="D20" s="85">
        <v>54838505.42</v>
      </c>
      <c r="E20" s="85">
        <v>25768280.89</v>
      </c>
      <c r="F20" s="85">
        <v>25751809.09</v>
      </c>
      <c r="G20" s="85">
        <f aca="true" t="shared" si="4" ref="G20:G27">D20-E20</f>
        <v>29070224.53</v>
      </c>
    </row>
    <row r="21" spans="1:7" ht="15">
      <c r="A21" s="21" t="s">
        <v>313</v>
      </c>
      <c r="B21" s="85">
        <v>6400</v>
      </c>
      <c r="C21" s="85">
        <v>843950</v>
      </c>
      <c r="D21" s="85">
        <v>850350</v>
      </c>
      <c r="E21" s="85">
        <v>848350</v>
      </c>
      <c r="F21" s="85">
        <v>848350</v>
      </c>
      <c r="G21" s="85">
        <f t="shared" si="4"/>
        <v>2000</v>
      </c>
    </row>
    <row r="22" spans="1:7" ht="15">
      <c r="A22" s="21" t="s">
        <v>314</v>
      </c>
      <c r="B22" s="85">
        <v>5392727</v>
      </c>
      <c r="C22" s="85">
        <v>685564.6</v>
      </c>
      <c r="D22" s="85">
        <v>6078291.6</v>
      </c>
      <c r="E22" s="85">
        <v>2763470.33</v>
      </c>
      <c r="F22" s="85">
        <v>2730514</v>
      </c>
      <c r="G22" s="85">
        <f t="shared" si="4"/>
        <v>3314821.2699999996</v>
      </c>
    </row>
    <row r="23" spans="1:7" ht="15">
      <c r="A23" s="21" t="s">
        <v>315</v>
      </c>
      <c r="B23" s="85">
        <v>64831382</v>
      </c>
      <c r="C23" s="85">
        <v>-2045585.54</v>
      </c>
      <c r="D23" s="85">
        <v>62785796.46</v>
      </c>
      <c r="E23" s="85">
        <v>28970979.05</v>
      </c>
      <c r="F23" s="85">
        <v>28957266.64</v>
      </c>
      <c r="G23" s="85">
        <f t="shared" si="4"/>
        <v>33814817.41</v>
      </c>
    </row>
    <row r="24" spans="1:7" ht="15">
      <c r="A24" s="21" t="s">
        <v>316</v>
      </c>
      <c r="B24" s="85">
        <v>149562236</v>
      </c>
      <c r="C24" s="85">
        <v>-5708100.5</v>
      </c>
      <c r="D24" s="85">
        <v>143854135.5</v>
      </c>
      <c r="E24" s="85">
        <v>48534664.73</v>
      </c>
      <c r="F24" s="85">
        <v>48512054.03</v>
      </c>
      <c r="G24" s="85">
        <f t="shared" si="4"/>
        <v>95319470.77000001</v>
      </c>
    </row>
    <row r="25" spans="1:7" ht="15">
      <c r="A25" s="21" t="s">
        <v>317</v>
      </c>
      <c r="B25" s="85">
        <v>5290848</v>
      </c>
      <c r="C25" s="85">
        <v>1248721.64</v>
      </c>
      <c r="D25" s="85">
        <v>6539569.64</v>
      </c>
      <c r="E25" s="85">
        <v>3042981.74</v>
      </c>
      <c r="F25" s="85">
        <v>3038803.17</v>
      </c>
      <c r="G25" s="85">
        <f t="shared" si="4"/>
        <v>3496587.8999999994</v>
      </c>
    </row>
    <row r="26" spans="1:7" ht="15">
      <c r="A26" s="21" t="s">
        <v>318</v>
      </c>
      <c r="B26" s="85">
        <v>337690</v>
      </c>
      <c r="C26" s="85">
        <v>268655.43</v>
      </c>
      <c r="D26" s="85">
        <v>606345.43</v>
      </c>
      <c r="E26" s="85">
        <v>601345.43</v>
      </c>
      <c r="F26" s="85">
        <v>601345.43</v>
      </c>
      <c r="G26" s="85">
        <f t="shared" si="4"/>
        <v>5000</v>
      </c>
    </row>
    <row r="27" spans="1:7" ht="15">
      <c r="A27" s="21" t="s">
        <v>319</v>
      </c>
      <c r="B27" s="85">
        <v>17228000</v>
      </c>
      <c r="C27" s="85">
        <v>2228056.88</v>
      </c>
      <c r="D27" s="85">
        <v>19456056.88</v>
      </c>
      <c r="E27" s="85">
        <v>8229132.53</v>
      </c>
      <c r="F27" s="85">
        <v>8206849.13</v>
      </c>
      <c r="G27" s="85">
        <f t="shared" si="4"/>
        <v>11226924.349999998</v>
      </c>
    </row>
    <row r="28" spans="1:7" ht="15">
      <c r="A28" s="20" t="s">
        <v>320</v>
      </c>
      <c r="B28" s="85">
        <f aca="true" t="shared" si="5" ref="B28:G28">SUM(B29:B37)</f>
        <v>1091370283</v>
      </c>
      <c r="C28" s="85">
        <f t="shared" si="5"/>
        <v>-78940255.75</v>
      </c>
      <c r="D28" s="85">
        <f t="shared" si="5"/>
        <v>1012430027.2499999</v>
      </c>
      <c r="E28" s="85">
        <f t="shared" si="5"/>
        <v>395170057.08000004</v>
      </c>
      <c r="F28" s="85">
        <f t="shared" si="5"/>
        <v>393318858.41999996</v>
      </c>
      <c r="G28" s="85">
        <f t="shared" si="5"/>
        <v>617259970.1699998</v>
      </c>
    </row>
    <row r="29" spans="1:7" ht="15">
      <c r="A29" s="21" t="s">
        <v>321</v>
      </c>
      <c r="B29" s="85">
        <v>79987280</v>
      </c>
      <c r="C29" s="85">
        <v>-7448681</v>
      </c>
      <c r="D29" s="85">
        <v>72538599</v>
      </c>
      <c r="E29" s="85">
        <v>26275399.88</v>
      </c>
      <c r="F29" s="85">
        <v>26188605.6</v>
      </c>
      <c r="G29" s="85">
        <f>D29-E29</f>
        <v>46263199.120000005</v>
      </c>
    </row>
    <row r="30" spans="1:7" ht="15">
      <c r="A30" s="21" t="s">
        <v>322</v>
      </c>
      <c r="B30" s="85">
        <v>159821898</v>
      </c>
      <c r="C30" s="85">
        <v>-9713615</v>
      </c>
      <c r="D30" s="85">
        <v>150108283</v>
      </c>
      <c r="E30" s="85">
        <v>67065132.33</v>
      </c>
      <c r="F30" s="85">
        <v>66709682.74</v>
      </c>
      <c r="G30" s="85">
        <f aca="true" t="shared" si="6" ref="G30:G37">D30-E30</f>
        <v>83043150.67</v>
      </c>
    </row>
    <row r="31" spans="1:7" ht="15">
      <c r="A31" s="21" t="s">
        <v>323</v>
      </c>
      <c r="B31" s="85">
        <v>166330968</v>
      </c>
      <c r="C31" s="85">
        <v>17594707.14</v>
      </c>
      <c r="D31" s="85">
        <v>183925675.14</v>
      </c>
      <c r="E31" s="85">
        <v>82882594.59</v>
      </c>
      <c r="F31" s="85">
        <v>82809234.59</v>
      </c>
      <c r="G31" s="85">
        <f t="shared" si="6"/>
        <v>101043080.54999998</v>
      </c>
    </row>
    <row r="32" spans="1:7" ht="15">
      <c r="A32" s="21" t="s">
        <v>324</v>
      </c>
      <c r="B32" s="85">
        <v>46341434</v>
      </c>
      <c r="C32" s="85">
        <v>-12688960.25</v>
      </c>
      <c r="D32" s="85">
        <v>33652473.75</v>
      </c>
      <c r="E32" s="85">
        <v>13023696.15</v>
      </c>
      <c r="F32" s="85">
        <v>13006335.04</v>
      </c>
      <c r="G32" s="85">
        <f t="shared" si="6"/>
        <v>20628777.6</v>
      </c>
    </row>
    <row r="33" spans="1:7" ht="15">
      <c r="A33" s="21" t="s">
        <v>325</v>
      </c>
      <c r="B33" s="85">
        <v>112361891</v>
      </c>
      <c r="C33" s="85">
        <v>-15996275.56</v>
      </c>
      <c r="D33" s="85">
        <v>96365615.44</v>
      </c>
      <c r="E33" s="85">
        <v>31964368.06</v>
      </c>
      <c r="F33" s="85">
        <v>31892870.12</v>
      </c>
      <c r="G33" s="85">
        <f t="shared" si="6"/>
        <v>64401247.379999995</v>
      </c>
    </row>
    <row r="34" spans="1:7" ht="15">
      <c r="A34" s="21" t="s">
        <v>326</v>
      </c>
      <c r="B34" s="85">
        <v>233396015</v>
      </c>
      <c r="C34" s="85">
        <v>11473510.1</v>
      </c>
      <c r="D34" s="85">
        <v>244869525.1</v>
      </c>
      <c r="E34" s="85">
        <v>114228731.52</v>
      </c>
      <c r="F34" s="85">
        <v>114216642.24</v>
      </c>
      <c r="G34" s="85">
        <f t="shared" si="6"/>
        <v>130640793.58</v>
      </c>
    </row>
    <row r="35" spans="1:7" ht="15">
      <c r="A35" s="21" t="s">
        <v>327</v>
      </c>
      <c r="B35" s="85">
        <v>33394589</v>
      </c>
      <c r="C35" s="85">
        <v>-6250276.87</v>
      </c>
      <c r="D35" s="85">
        <v>27144312.13</v>
      </c>
      <c r="E35" s="85">
        <v>6171538.41</v>
      </c>
      <c r="F35" s="85">
        <v>6166701.17</v>
      </c>
      <c r="G35" s="85">
        <f t="shared" si="6"/>
        <v>20972773.72</v>
      </c>
    </row>
    <row r="36" spans="1:7" ht="15">
      <c r="A36" s="21" t="s">
        <v>328</v>
      </c>
      <c r="B36" s="85">
        <v>121919837</v>
      </c>
      <c r="C36" s="85">
        <v>-22336215.69</v>
      </c>
      <c r="D36" s="85">
        <v>99583621.31</v>
      </c>
      <c r="E36" s="85">
        <v>17312131.25</v>
      </c>
      <c r="F36" s="85">
        <v>16096687.03</v>
      </c>
      <c r="G36" s="85">
        <f t="shared" si="6"/>
        <v>82271490.06</v>
      </c>
    </row>
    <row r="37" spans="1:7" ht="15">
      <c r="A37" s="21" t="s">
        <v>329</v>
      </c>
      <c r="B37" s="85">
        <v>137816371</v>
      </c>
      <c r="C37" s="85">
        <v>-33574448.62</v>
      </c>
      <c r="D37" s="85">
        <v>104241922.38</v>
      </c>
      <c r="E37" s="85">
        <v>36246464.89</v>
      </c>
      <c r="F37" s="85">
        <v>36232099.89</v>
      </c>
      <c r="G37" s="85">
        <f t="shared" si="6"/>
        <v>67995457.49</v>
      </c>
    </row>
    <row r="38" spans="1:7" ht="15">
      <c r="A38" s="20" t="s">
        <v>330</v>
      </c>
      <c r="B38" s="85">
        <f aca="true" t="shared" si="7" ref="B38:G38">SUM(B39:B47)</f>
        <v>3671801018</v>
      </c>
      <c r="C38" s="85">
        <f t="shared" si="7"/>
        <v>330654789.97</v>
      </c>
      <c r="D38" s="85">
        <f t="shared" si="7"/>
        <v>4002455807.9700003</v>
      </c>
      <c r="E38" s="85">
        <f t="shared" si="7"/>
        <v>1837115758.9299998</v>
      </c>
      <c r="F38" s="85">
        <f t="shared" si="7"/>
        <v>1792181217.71</v>
      </c>
      <c r="G38" s="85">
        <f t="shared" si="7"/>
        <v>2165340049.0400004</v>
      </c>
    </row>
    <row r="39" spans="1:7" ht="15">
      <c r="A39" s="21" t="s">
        <v>331</v>
      </c>
      <c r="B39" s="85">
        <v>848795606</v>
      </c>
      <c r="C39" s="85">
        <v>12813309.94</v>
      </c>
      <c r="D39" s="85">
        <v>861608915.94</v>
      </c>
      <c r="E39" s="85">
        <v>408995968.54</v>
      </c>
      <c r="F39" s="85">
        <v>407819064.65</v>
      </c>
      <c r="G39" s="85">
        <f>D39-E39</f>
        <v>452612947.40000004</v>
      </c>
    </row>
    <row r="40" spans="1:7" ht="15">
      <c r="A40" s="21" t="s">
        <v>332</v>
      </c>
      <c r="B40" s="85">
        <v>2308377618</v>
      </c>
      <c r="C40" s="85">
        <v>189150373.55</v>
      </c>
      <c r="D40" s="85">
        <v>2497527991.55</v>
      </c>
      <c r="E40" s="85">
        <v>1194300243.25</v>
      </c>
      <c r="F40" s="85">
        <v>1158059221.39</v>
      </c>
      <c r="G40" s="85">
        <f aca="true" t="shared" si="8" ref="G40:G47">D40-E40</f>
        <v>1303227748.3000002</v>
      </c>
    </row>
    <row r="41" spans="1:7" ht="15">
      <c r="A41" s="21" t="s">
        <v>333</v>
      </c>
      <c r="B41" s="85">
        <v>0</v>
      </c>
      <c r="C41" s="85">
        <v>62656161</v>
      </c>
      <c r="D41" s="85">
        <v>62656161</v>
      </c>
      <c r="E41" s="85">
        <v>1656113</v>
      </c>
      <c r="F41" s="85">
        <v>1656113</v>
      </c>
      <c r="G41" s="85">
        <f t="shared" si="8"/>
        <v>61000048</v>
      </c>
    </row>
    <row r="42" spans="1:7" ht="15">
      <c r="A42" s="21" t="s">
        <v>334</v>
      </c>
      <c r="B42" s="85">
        <v>440991798</v>
      </c>
      <c r="C42" s="85">
        <v>57709945.48</v>
      </c>
      <c r="D42" s="85">
        <v>498701743.48</v>
      </c>
      <c r="E42" s="85">
        <v>178185015.39</v>
      </c>
      <c r="F42" s="85">
        <v>173883899.67</v>
      </c>
      <c r="G42" s="85">
        <f t="shared" si="8"/>
        <v>320516728.09000003</v>
      </c>
    </row>
    <row r="43" spans="1:7" ht="15">
      <c r="A43" s="21" t="s">
        <v>335</v>
      </c>
      <c r="B43" s="85">
        <v>0</v>
      </c>
      <c r="C43" s="85">
        <v>0</v>
      </c>
      <c r="D43" s="85">
        <v>0</v>
      </c>
      <c r="E43" s="85">
        <v>0</v>
      </c>
      <c r="F43" s="85">
        <v>0</v>
      </c>
      <c r="G43" s="85">
        <f t="shared" si="8"/>
        <v>0</v>
      </c>
    </row>
    <row r="44" spans="1:7" ht="15">
      <c r="A44" s="21" t="s">
        <v>336</v>
      </c>
      <c r="B44" s="85">
        <v>67296000</v>
      </c>
      <c r="C44" s="85">
        <v>8325000</v>
      </c>
      <c r="D44" s="85">
        <v>75621000</v>
      </c>
      <c r="E44" s="85">
        <v>53978418.75</v>
      </c>
      <c r="F44" s="85">
        <v>50762919</v>
      </c>
      <c r="G44" s="85">
        <f t="shared" si="8"/>
        <v>21642581.25</v>
      </c>
    </row>
    <row r="45" spans="1:7" ht="15">
      <c r="A45" s="21" t="s">
        <v>337</v>
      </c>
      <c r="B45" s="85">
        <v>6339996</v>
      </c>
      <c r="C45" s="85">
        <v>0</v>
      </c>
      <c r="D45" s="85">
        <v>6339996</v>
      </c>
      <c r="E45" s="85">
        <v>0</v>
      </c>
      <c r="F45" s="85">
        <v>0</v>
      </c>
      <c r="G45" s="85">
        <f t="shared" si="8"/>
        <v>6339996</v>
      </c>
    </row>
    <row r="46" spans="1:7" ht="15">
      <c r="A46" s="21" t="s">
        <v>338</v>
      </c>
      <c r="B46" s="85">
        <v>0</v>
      </c>
      <c r="C46" s="85">
        <v>0</v>
      </c>
      <c r="D46" s="85">
        <v>0</v>
      </c>
      <c r="E46" s="85">
        <v>0</v>
      </c>
      <c r="F46" s="85">
        <v>0</v>
      </c>
      <c r="G46" s="85">
        <f t="shared" si="8"/>
        <v>0</v>
      </c>
    </row>
    <row r="47" spans="1:7" ht="15">
      <c r="A47" s="21" t="s">
        <v>339</v>
      </c>
      <c r="B47" s="85">
        <v>0</v>
      </c>
      <c r="C47" s="85">
        <v>0</v>
      </c>
      <c r="D47" s="85">
        <v>0</v>
      </c>
      <c r="E47" s="85">
        <v>0</v>
      </c>
      <c r="F47" s="85">
        <v>0</v>
      </c>
      <c r="G47" s="85">
        <f t="shared" si="8"/>
        <v>0</v>
      </c>
    </row>
    <row r="48" spans="1:7" ht="15">
      <c r="A48" s="20" t="s">
        <v>340</v>
      </c>
      <c r="B48" s="85">
        <f aca="true" t="shared" si="9" ref="B48:G48">SUM(B49:B57)</f>
        <v>4342369</v>
      </c>
      <c r="C48" s="85">
        <f t="shared" si="9"/>
        <v>31662978.990000002</v>
      </c>
      <c r="D48" s="85">
        <f t="shared" si="9"/>
        <v>36005347.99</v>
      </c>
      <c r="E48" s="85">
        <f t="shared" si="9"/>
        <v>20521892</v>
      </c>
      <c r="F48" s="85">
        <f t="shared" si="9"/>
        <v>20521892</v>
      </c>
      <c r="G48" s="85">
        <f t="shared" si="9"/>
        <v>15483455.990000002</v>
      </c>
    </row>
    <row r="49" spans="1:7" ht="15">
      <c r="A49" s="21" t="s">
        <v>341</v>
      </c>
      <c r="B49" s="85">
        <v>2057869</v>
      </c>
      <c r="C49" s="85">
        <v>4298671.83</v>
      </c>
      <c r="D49" s="85">
        <v>6356540.83</v>
      </c>
      <c r="E49" s="85">
        <v>2452209.17</v>
      </c>
      <c r="F49" s="85">
        <v>2452209.17</v>
      </c>
      <c r="G49" s="85">
        <f>D49-E49</f>
        <v>3904331.66</v>
      </c>
    </row>
    <row r="50" spans="1:7" ht="15">
      <c r="A50" s="21" t="s">
        <v>342</v>
      </c>
      <c r="B50" s="85">
        <v>24000</v>
      </c>
      <c r="C50" s="85">
        <v>63000</v>
      </c>
      <c r="D50" s="85">
        <v>87000</v>
      </c>
      <c r="E50" s="85">
        <v>18513.6</v>
      </c>
      <c r="F50" s="85">
        <v>18513.6</v>
      </c>
      <c r="G50" s="85">
        <f aca="true" t="shared" si="10" ref="G50:G57">D50-E50</f>
        <v>68486.4</v>
      </c>
    </row>
    <row r="51" spans="1:7" ht="15">
      <c r="A51" s="21" t="s">
        <v>343</v>
      </c>
      <c r="B51" s="85">
        <v>250000</v>
      </c>
      <c r="C51" s="85">
        <v>-250000</v>
      </c>
      <c r="D51" s="85">
        <v>0</v>
      </c>
      <c r="E51" s="85">
        <v>0</v>
      </c>
      <c r="F51" s="85">
        <v>0</v>
      </c>
      <c r="G51" s="85">
        <f t="shared" si="10"/>
        <v>0</v>
      </c>
    </row>
    <row r="52" spans="1:7" ht="15">
      <c r="A52" s="21" t="s">
        <v>344</v>
      </c>
      <c r="B52" s="85">
        <v>600000</v>
      </c>
      <c r="C52" s="85">
        <v>25722503.3</v>
      </c>
      <c r="D52" s="85">
        <v>26322503.3</v>
      </c>
      <c r="E52" s="85">
        <v>17845885.3</v>
      </c>
      <c r="F52" s="85">
        <v>17845885.3</v>
      </c>
      <c r="G52" s="85">
        <f t="shared" si="10"/>
        <v>8476618</v>
      </c>
    </row>
    <row r="53" spans="1:7" ht="15">
      <c r="A53" s="21" t="s">
        <v>345</v>
      </c>
      <c r="B53" s="85">
        <v>0</v>
      </c>
      <c r="C53" s="85">
        <v>0</v>
      </c>
      <c r="D53" s="85">
        <v>0</v>
      </c>
      <c r="E53" s="85">
        <v>0</v>
      </c>
      <c r="F53" s="85">
        <v>0</v>
      </c>
      <c r="G53" s="85">
        <f t="shared" si="10"/>
        <v>0</v>
      </c>
    </row>
    <row r="54" spans="1:7" ht="15">
      <c r="A54" s="21" t="s">
        <v>346</v>
      </c>
      <c r="B54" s="85">
        <v>1410500</v>
      </c>
      <c r="C54" s="85">
        <v>-380081.12</v>
      </c>
      <c r="D54" s="85">
        <v>1030418.88</v>
      </c>
      <c r="E54" s="85">
        <v>98614.15</v>
      </c>
      <c r="F54" s="85">
        <v>98614.15</v>
      </c>
      <c r="G54" s="85">
        <f t="shared" si="10"/>
        <v>931804.73</v>
      </c>
    </row>
    <row r="55" spans="1:7" ht="15">
      <c r="A55" s="21" t="s">
        <v>347</v>
      </c>
      <c r="B55" s="85">
        <v>0</v>
      </c>
      <c r="C55" s="85">
        <v>0</v>
      </c>
      <c r="D55" s="85">
        <v>0</v>
      </c>
      <c r="E55" s="85">
        <v>0</v>
      </c>
      <c r="F55" s="85">
        <v>0</v>
      </c>
      <c r="G55" s="85">
        <f t="shared" si="10"/>
        <v>0</v>
      </c>
    </row>
    <row r="56" spans="1:7" ht="15">
      <c r="A56" s="21" t="s">
        <v>348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85">
        <f t="shared" si="10"/>
        <v>0</v>
      </c>
    </row>
    <row r="57" spans="1:7" ht="15">
      <c r="A57" s="21" t="s">
        <v>349</v>
      </c>
      <c r="B57" s="85">
        <v>0</v>
      </c>
      <c r="C57" s="85">
        <v>2208884.98</v>
      </c>
      <c r="D57" s="85">
        <v>2208884.98</v>
      </c>
      <c r="E57" s="85">
        <v>106669.78</v>
      </c>
      <c r="F57" s="85">
        <v>106669.78</v>
      </c>
      <c r="G57" s="85">
        <f t="shared" si="10"/>
        <v>2102215.2</v>
      </c>
    </row>
    <row r="58" spans="1:7" ht="15">
      <c r="A58" s="20" t="s">
        <v>350</v>
      </c>
      <c r="B58" s="85">
        <f aca="true" t="shared" si="11" ref="B58:G58">SUM(B59:B61)</f>
        <v>43237766</v>
      </c>
      <c r="C58" s="85">
        <f t="shared" si="11"/>
        <v>972691509.65</v>
      </c>
      <c r="D58" s="85">
        <f t="shared" si="11"/>
        <v>1015929275.65</v>
      </c>
      <c r="E58" s="85">
        <f t="shared" si="11"/>
        <v>205369812.21</v>
      </c>
      <c r="F58" s="85">
        <f t="shared" si="11"/>
        <v>205369812.21</v>
      </c>
      <c r="G58" s="85">
        <f t="shared" si="11"/>
        <v>810559463.4399999</v>
      </c>
    </row>
    <row r="59" spans="1:7" ht="15">
      <c r="A59" s="21" t="s">
        <v>351</v>
      </c>
      <c r="B59" s="85">
        <v>42624092</v>
      </c>
      <c r="C59" s="85">
        <v>969478097.65</v>
      </c>
      <c r="D59" s="85">
        <v>1012102189.65</v>
      </c>
      <c r="E59" s="85">
        <v>205369812.21</v>
      </c>
      <c r="F59" s="85">
        <v>205369812.21</v>
      </c>
      <c r="G59" s="85">
        <f>D59-E59</f>
        <v>806732377.4399999</v>
      </c>
    </row>
    <row r="60" spans="1:7" ht="15">
      <c r="A60" s="21" t="s">
        <v>352</v>
      </c>
      <c r="B60" s="85">
        <v>613674</v>
      </c>
      <c r="C60" s="85">
        <v>3213412</v>
      </c>
      <c r="D60" s="85">
        <v>3827086</v>
      </c>
      <c r="E60" s="85">
        <v>0</v>
      </c>
      <c r="F60" s="85">
        <v>0</v>
      </c>
      <c r="G60" s="85">
        <f>D60-E60</f>
        <v>3827086</v>
      </c>
    </row>
    <row r="61" spans="1:7" ht="15">
      <c r="A61" s="21" t="s">
        <v>353</v>
      </c>
      <c r="B61" s="85">
        <v>0</v>
      </c>
      <c r="C61" s="85">
        <v>0</v>
      </c>
      <c r="D61" s="85">
        <v>0</v>
      </c>
      <c r="E61" s="85">
        <v>0</v>
      </c>
      <c r="F61" s="85">
        <v>0</v>
      </c>
      <c r="G61" s="85">
        <f>D61-E61</f>
        <v>0</v>
      </c>
    </row>
    <row r="62" spans="1:7" ht="15">
      <c r="A62" s="20" t="s">
        <v>354</v>
      </c>
      <c r="B62" s="85">
        <f aca="true" t="shared" si="12" ref="B62:G62">SUM(B63:B67,B69:B70)</f>
        <v>13014839</v>
      </c>
      <c r="C62" s="85">
        <f t="shared" si="12"/>
        <v>78022202.52000001</v>
      </c>
      <c r="D62" s="85">
        <f t="shared" si="12"/>
        <v>91037041.52</v>
      </c>
      <c r="E62" s="85">
        <f t="shared" si="12"/>
        <v>13014839</v>
      </c>
      <c r="F62" s="85">
        <f t="shared" si="12"/>
        <v>13014839</v>
      </c>
      <c r="G62" s="85">
        <f t="shared" si="12"/>
        <v>78022202.52</v>
      </c>
    </row>
    <row r="63" spans="1:7" ht="15">
      <c r="A63" s="21" t="s">
        <v>355</v>
      </c>
      <c r="B63" s="85">
        <v>0</v>
      </c>
      <c r="C63" s="85">
        <v>0</v>
      </c>
      <c r="D63" s="85">
        <v>0</v>
      </c>
      <c r="E63" s="85">
        <v>0</v>
      </c>
      <c r="F63" s="85">
        <v>0</v>
      </c>
      <c r="G63" s="85">
        <f>D63-E63</f>
        <v>0</v>
      </c>
    </row>
    <row r="64" spans="1:7" ht="15">
      <c r="A64" s="21" t="s">
        <v>356</v>
      </c>
      <c r="B64" s="85">
        <v>0</v>
      </c>
      <c r="C64" s="85">
        <v>0</v>
      </c>
      <c r="D64" s="85">
        <v>0</v>
      </c>
      <c r="E64" s="85">
        <v>0</v>
      </c>
      <c r="F64" s="85">
        <v>0</v>
      </c>
      <c r="G64" s="85">
        <f aca="true" t="shared" si="13" ref="G64:G70">D64-E64</f>
        <v>0</v>
      </c>
    </row>
    <row r="65" spans="1:7" ht="15">
      <c r="A65" s="21" t="s">
        <v>357</v>
      </c>
      <c r="B65" s="85">
        <v>0</v>
      </c>
      <c r="C65" s="85">
        <v>0</v>
      </c>
      <c r="D65" s="85">
        <v>0</v>
      </c>
      <c r="E65" s="85">
        <v>0</v>
      </c>
      <c r="F65" s="85">
        <v>0</v>
      </c>
      <c r="G65" s="85">
        <f t="shared" si="13"/>
        <v>0</v>
      </c>
    </row>
    <row r="66" spans="1:7" ht="15">
      <c r="A66" s="21" t="s">
        <v>358</v>
      </c>
      <c r="B66" s="85">
        <v>0</v>
      </c>
      <c r="C66" s="85">
        <v>0</v>
      </c>
      <c r="D66" s="85">
        <v>0</v>
      </c>
      <c r="E66" s="85">
        <v>0</v>
      </c>
      <c r="F66" s="85">
        <v>0</v>
      </c>
      <c r="G66" s="85">
        <f t="shared" si="13"/>
        <v>0</v>
      </c>
    </row>
    <row r="67" spans="1:7" ht="15">
      <c r="A67" s="21" t="s">
        <v>359</v>
      </c>
      <c r="B67" s="85">
        <v>0</v>
      </c>
      <c r="C67" s="85">
        <v>13014839</v>
      </c>
      <c r="D67" s="85">
        <v>13014839</v>
      </c>
      <c r="E67" s="85">
        <v>13014839</v>
      </c>
      <c r="F67" s="85">
        <v>13014839</v>
      </c>
      <c r="G67" s="85">
        <f t="shared" si="13"/>
        <v>0</v>
      </c>
    </row>
    <row r="68" spans="1:7" ht="15">
      <c r="A68" s="21" t="s">
        <v>360</v>
      </c>
      <c r="B68" s="85">
        <v>0</v>
      </c>
      <c r="C68" s="85">
        <v>0</v>
      </c>
      <c r="D68" s="85">
        <v>0</v>
      </c>
      <c r="E68" s="85">
        <v>0</v>
      </c>
      <c r="F68" s="85">
        <v>0</v>
      </c>
      <c r="G68" s="85">
        <f t="shared" si="13"/>
        <v>0</v>
      </c>
    </row>
    <row r="69" spans="1:7" ht="15">
      <c r="A69" s="21" t="s">
        <v>361</v>
      </c>
      <c r="B69" s="85">
        <v>0</v>
      </c>
      <c r="C69" s="85">
        <v>0</v>
      </c>
      <c r="D69" s="85">
        <v>0</v>
      </c>
      <c r="E69" s="85">
        <v>0</v>
      </c>
      <c r="F69" s="85">
        <v>0</v>
      </c>
      <c r="G69" s="85">
        <f t="shared" si="13"/>
        <v>0</v>
      </c>
    </row>
    <row r="70" spans="1:7" ht="15">
      <c r="A70" s="21" t="s">
        <v>362</v>
      </c>
      <c r="B70" s="85">
        <v>13014839</v>
      </c>
      <c r="C70" s="85">
        <v>65007363.52</v>
      </c>
      <c r="D70" s="85">
        <v>78022202.52</v>
      </c>
      <c r="E70" s="85">
        <v>0</v>
      </c>
      <c r="F70" s="85">
        <v>0</v>
      </c>
      <c r="G70" s="85">
        <f t="shared" si="13"/>
        <v>78022202.52</v>
      </c>
    </row>
    <row r="71" spans="1:7" ht="15">
      <c r="A71" s="20" t="s">
        <v>363</v>
      </c>
      <c r="B71" s="85">
        <f aca="true" t="shared" si="14" ref="B71:G71">SUM(B72:B74)</f>
        <v>2915545008</v>
      </c>
      <c r="C71" s="85">
        <f t="shared" si="14"/>
        <v>2571483.7799999993</v>
      </c>
      <c r="D71" s="85">
        <f t="shared" si="14"/>
        <v>2918116491.78</v>
      </c>
      <c r="E71" s="85">
        <f t="shared" si="14"/>
        <v>1470004184.16</v>
      </c>
      <c r="F71" s="85">
        <f t="shared" si="14"/>
        <v>1444939181.16</v>
      </c>
      <c r="G71" s="85">
        <f t="shared" si="14"/>
        <v>1448112307.62</v>
      </c>
    </row>
    <row r="72" spans="1:7" ht="15">
      <c r="A72" s="21" t="s">
        <v>364</v>
      </c>
      <c r="B72" s="85">
        <v>2544441920</v>
      </c>
      <c r="C72" s="85">
        <v>103516.42</v>
      </c>
      <c r="D72" s="85">
        <v>2544545436.42</v>
      </c>
      <c r="E72" s="85">
        <v>1322386467.42</v>
      </c>
      <c r="F72" s="85">
        <v>1322386467.42</v>
      </c>
      <c r="G72" s="85">
        <f>D72-E72</f>
        <v>1222158969</v>
      </c>
    </row>
    <row r="73" spans="1:7" ht="15">
      <c r="A73" s="21" t="s">
        <v>365</v>
      </c>
      <c r="B73" s="85">
        <v>72665314</v>
      </c>
      <c r="C73" s="85">
        <v>14936832</v>
      </c>
      <c r="D73" s="85">
        <v>87602146</v>
      </c>
      <c r="E73" s="85">
        <v>48857517</v>
      </c>
      <c r="F73" s="85">
        <v>48857517</v>
      </c>
      <c r="G73" s="85">
        <f>D73-E73</f>
        <v>38744629</v>
      </c>
    </row>
    <row r="74" spans="1:7" ht="15">
      <c r="A74" s="21" t="s">
        <v>366</v>
      </c>
      <c r="B74" s="85">
        <v>298437774</v>
      </c>
      <c r="C74" s="85">
        <v>-12468864.64</v>
      </c>
      <c r="D74" s="85">
        <v>285968909.36</v>
      </c>
      <c r="E74" s="85">
        <v>98760199.74</v>
      </c>
      <c r="F74" s="85">
        <v>73695196.74</v>
      </c>
      <c r="G74" s="85">
        <f>D74-E74</f>
        <v>187208709.62</v>
      </c>
    </row>
    <row r="75" spans="1:7" ht="15">
      <c r="A75" s="20" t="s">
        <v>367</v>
      </c>
      <c r="B75" s="85">
        <f aca="true" t="shared" si="15" ref="B75:G75">SUM(B76:B82)</f>
        <v>352937060</v>
      </c>
      <c r="C75" s="85">
        <f t="shared" si="15"/>
        <v>-8081573.36</v>
      </c>
      <c r="D75" s="85">
        <f t="shared" si="15"/>
        <v>344855486.6399999</v>
      </c>
      <c r="E75" s="85">
        <f t="shared" si="15"/>
        <v>125907271.71000001</v>
      </c>
      <c r="F75" s="85">
        <f t="shared" si="15"/>
        <v>125907271.71000001</v>
      </c>
      <c r="G75" s="85">
        <f t="shared" si="15"/>
        <v>218948214.92999995</v>
      </c>
    </row>
    <row r="76" spans="1:7" ht="15">
      <c r="A76" s="21" t="s">
        <v>368</v>
      </c>
      <c r="B76" s="85">
        <v>37230989</v>
      </c>
      <c r="C76" s="85">
        <v>197768.53</v>
      </c>
      <c r="D76" s="85">
        <v>37428757.53</v>
      </c>
      <c r="E76" s="85">
        <v>17949700.59</v>
      </c>
      <c r="F76" s="85">
        <v>17949700.59</v>
      </c>
      <c r="G76" s="85">
        <f>D76-E76</f>
        <v>19479056.94</v>
      </c>
    </row>
    <row r="77" spans="1:7" ht="15">
      <c r="A77" s="21" t="s">
        <v>369</v>
      </c>
      <c r="B77" s="85">
        <v>269176179</v>
      </c>
      <c r="C77" s="85">
        <v>3443622.78</v>
      </c>
      <c r="D77" s="85">
        <v>272619801.78</v>
      </c>
      <c r="E77" s="85">
        <v>107957571.12</v>
      </c>
      <c r="F77" s="85">
        <v>107957571.12</v>
      </c>
      <c r="G77" s="85">
        <f aca="true" t="shared" si="16" ref="G77:G82">D77-E77</f>
        <v>164662230.65999997</v>
      </c>
    </row>
    <row r="78" spans="1:7" ht="15">
      <c r="A78" s="21" t="s">
        <v>370</v>
      </c>
      <c r="B78" s="85">
        <v>0</v>
      </c>
      <c r="C78" s="85">
        <v>0</v>
      </c>
      <c r="D78" s="85">
        <v>0</v>
      </c>
      <c r="E78" s="85">
        <v>0</v>
      </c>
      <c r="F78" s="85">
        <v>0</v>
      </c>
      <c r="G78" s="85">
        <f t="shared" si="16"/>
        <v>0</v>
      </c>
    </row>
    <row r="79" spans="1:7" ht="15">
      <c r="A79" s="21" t="s">
        <v>371</v>
      </c>
      <c r="B79" s="85">
        <v>0</v>
      </c>
      <c r="C79" s="85">
        <v>0</v>
      </c>
      <c r="D79" s="85">
        <v>0</v>
      </c>
      <c r="E79" s="85">
        <v>0</v>
      </c>
      <c r="F79" s="85">
        <v>0</v>
      </c>
      <c r="G79" s="85">
        <f t="shared" si="16"/>
        <v>0</v>
      </c>
    </row>
    <row r="80" spans="1:7" ht="15">
      <c r="A80" s="21" t="s">
        <v>372</v>
      </c>
      <c r="B80" s="85">
        <v>0</v>
      </c>
      <c r="C80" s="85">
        <v>0</v>
      </c>
      <c r="D80" s="85">
        <v>0</v>
      </c>
      <c r="E80" s="85">
        <v>0</v>
      </c>
      <c r="F80" s="85">
        <v>0</v>
      </c>
      <c r="G80" s="85">
        <f t="shared" si="16"/>
        <v>0</v>
      </c>
    </row>
    <row r="81" spans="1:7" ht="15">
      <c r="A81" s="21" t="s">
        <v>373</v>
      </c>
      <c r="B81" s="85">
        <v>0</v>
      </c>
      <c r="C81" s="85">
        <v>0</v>
      </c>
      <c r="D81" s="85">
        <v>0</v>
      </c>
      <c r="E81" s="85">
        <v>0</v>
      </c>
      <c r="F81" s="85">
        <v>0</v>
      </c>
      <c r="G81" s="85">
        <f t="shared" si="16"/>
        <v>0</v>
      </c>
    </row>
    <row r="82" spans="1:7" ht="15">
      <c r="A82" s="21" t="s">
        <v>374</v>
      </c>
      <c r="B82" s="85">
        <v>46529892</v>
      </c>
      <c r="C82" s="85">
        <v>-11722964.67</v>
      </c>
      <c r="D82" s="85">
        <v>34806927.33</v>
      </c>
      <c r="E82" s="85">
        <v>0</v>
      </c>
      <c r="F82" s="85">
        <v>0</v>
      </c>
      <c r="G82" s="85">
        <f t="shared" si="16"/>
        <v>34806927.33</v>
      </c>
    </row>
    <row r="83" spans="1:7" ht="15">
      <c r="A83" s="22"/>
      <c r="B83" s="86"/>
      <c r="C83" s="86"/>
      <c r="D83" s="86"/>
      <c r="E83" s="86"/>
      <c r="F83" s="86"/>
      <c r="G83" s="86"/>
    </row>
    <row r="84" spans="1:7" ht="15">
      <c r="A84" s="23" t="s">
        <v>375</v>
      </c>
      <c r="B84" s="87">
        <f aca="true" t="shared" si="17" ref="B84:G84">SUM(B85,B93,B103,B113,B123,B133,B137,B146,B150)</f>
        <v>11110212505</v>
      </c>
      <c r="C84" s="87">
        <f t="shared" si="17"/>
        <v>973750922.8700001</v>
      </c>
      <c r="D84" s="87">
        <f t="shared" si="17"/>
        <v>12083963427.869999</v>
      </c>
      <c r="E84" s="87">
        <f t="shared" si="17"/>
        <v>5484401300.71</v>
      </c>
      <c r="F84" s="87">
        <f t="shared" si="17"/>
        <v>5484401300.71</v>
      </c>
      <c r="G84" s="87">
        <f t="shared" si="17"/>
        <v>6599562127.160001</v>
      </c>
    </row>
    <row r="85" spans="1:7" ht="15">
      <c r="A85" s="20" t="s">
        <v>302</v>
      </c>
      <c r="B85" s="85">
        <f aca="true" t="shared" si="18" ref="B85:G85">SUM(B86:B92)</f>
        <v>4516943588</v>
      </c>
      <c r="C85" s="85">
        <f t="shared" si="18"/>
        <v>0</v>
      </c>
      <c r="D85" s="85">
        <f t="shared" si="18"/>
        <v>4516943588</v>
      </c>
      <c r="E85" s="85">
        <f t="shared" si="18"/>
        <v>1885552800.49</v>
      </c>
      <c r="F85" s="85">
        <f t="shared" si="18"/>
        <v>1885552800.49</v>
      </c>
      <c r="G85" s="85">
        <f t="shared" si="18"/>
        <v>2631390787.5099998</v>
      </c>
    </row>
    <row r="86" spans="1:7" ht="15">
      <c r="A86" s="21" t="s">
        <v>303</v>
      </c>
      <c r="B86" s="85">
        <v>2606847432</v>
      </c>
      <c r="C86" s="85">
        <v>71808807</v>
      </c>
      <c r="D86" s="85">
        <v>2678656239</v>
      </c>
      <c r="E86" s="85">
        <v>1147579752.77</v>
      </c>
      <c r="F86" s="85">
        <v>1147579752.77</v>
      </c>
      <c r="G86" s="85">
        <f>D86-E86</f>
        <v>1531076486.23</v>
      </c>
    </row>
    <row r="87" spans="1:7" ht="15">
      <c r="A87" s="21" t="s">
        <v>304</v>
      </c>
      <c r="B87" s="85">
        <v>9249545</v>
      </c>
      <c r="C87" s="85">
        <v>-1892931</v>
      </c>
      <c r="D87" s="85">
        <v>7356614</v>
      </c>
      <c r="E87" s="85">
        <v>1560203.32</v>
      </c>
      <c r="F87" s="85">
        <v>1560203.32</v>
      </c>
      <c r="G87" s="85">
        <f aca="true" t="shared" si="19" ref="G87:G92">D87-E87</f>
        <v>5796410.68</v>
      </c>
    </row>
    <row r="88" spans="1:7" ht="15">
      <c r="A88" s="21" t="s">
        <v>305</v>
      </c>
      <c r="B88" s="85">
        <v>927571514</v>
      </c>
      <c r="C88" s="85">
        <v>32910712.05</v>
      </c>
      <c r="D88" s="85">
        <v>960482226.05</v>
      </c>
      <c r="E88" s="85">
        <v>437142582.27</v>
      </c>
      <c r="F88" s="85">
        <v>437142582.27</v>
      </c>
      <c r="G88" s="85">
        <f t="shared" si="19"/>
        <v>523339643.78</v>
      </c>
    </row>
    <row r="89" spans="1:7" ht="15">
      <c r="A89" s="21" t="s">
        <v>306</v>
      </c>
      <c r="B89" s="85">
        <v>428923112</v>
      </c>
      <c r="C89" s="85">
        <v>-58144655.3</v>
      </c>
      <c r="D89" s="85">
        <v>370778456.7</v>
      </c>
      <c r="E89" s="85">
        <v>114498837.02</v>
      </c>
      <c r="F89" s="85">
        <v>114498837.02</v>
      </c>
      <c r="G89" s="85">
        <f t="shared" si="19"/>
        <v>256279619.68</v>
      </c>
    </row>
    <row r="90" spans="1:7" ht="15">
      <c r="A90" s="21" t="s">
        <v>307</v>
      </c>
      <c r="B90" s="85">
        <v>53103315</v>
      </c>
      <c r="C90" s="85">
        <v>20285601</v>
      </c>
      <c r="D90" s="85">
        <v>73388916</v>
      </c>
      <c r="E90" s="85">
        <v>36531857.96</v>
      </c>
      <c r="F90" s="85">
        <v>36531857.96</v>
      </c>
      <c r="G90" s="85">
        <f t="shared" si="19"/>
        <v>36857058.04</v>
      </c>
    </row>
    <row r="91" spans="1:7" ht="15">
      <c r="A91" s="21" t="s">
        <v>308</v>
      </c>
      <c r="B91" s="85">
        <v>0</v>
      </c>
      <c r="C91" s="85">
        <v>0</v>
      </c>
      <c r="D91" s="85">
        <v>0</v>
      </c>
      <c r="E91" s="85">
        <v>0</v>
      </c>
      <c r="F91" s="85">
        <v>0</v>
      </c>
      <c r="G91" s="85">
        <f t="shared" si="19"/>
        <v>0</v>
      </c>
    </row>
    <row r="92" spans="1:7" ht="15">
      <c r="A92" s="21" t="s">
        <v>309</v>
      </c>
      <c r="B92" s="85">
        <v>491248670</v>
      </c>
      <c r="C92" s="85">
        <v>-64967533.75</v>
      </c>
      <c r="D92" s="85">
        <v>426281136.25</v>
      </c>
      <c r="E92" s="85">
        <v>148239567.15</v>
      </c>
      <c r="F92" s="85">
        <v>148239567.15</v>
      </c>
      <c r="G92" s="85">
        <f t="shared" si="19"/>
        <v>278041569.1</v>
      </c>
    </row>
    <row r="93" spans="1:7" ht="15">
      <c r="A93" s="20" t="s">
        <v>310</v>
      </c>
      <c r="B93" s="85">
        <f aca="true" t="shared" si="20" ref="B93:G93">SUM(B94:B102)</f>
        <v>56959968</v>
      </c>
      <c r="C93" s="85">
        <f t="shared" si="20"/>
        <v>19369329.49</v>
      </c>
      <c r="D93" s="85">
        <f t="shared" si="20"/>
        <v>76329297.49</v>
      </c>
      <c r="E93" s="85">
        <f t="shared" si="20"/>
        <v>10409832.79</v>
      </c>
      <c r="F93" s="85">
        <f t="shared" si="20"/>
        <v>10409832.79</v>
      </c>
      <c r="G93" s="85">
        <f t="shared" si="20"/>
        <v>65919464.7</v>
      </c>
    </row>
    <row r="94" spans="1:7" ht="15">
      <c r="A94" s="21" t="s">
        <v>311</v>
      </c>
      <c r="B94" s="85">
        <v>6188227</v>
      </c>
      <c r="C94" s="85">
        <v>-1621977.44</v>
      </c>
      <c r="D94" s="85">
        <v>4566249.56</v>
      </c>
      <c r="E94" s="85">
        <v>487335.82</v>
      </c>
      <c r="F94" s="85">
        <v>487335.82</v>
      </c>
      <c r="G94" s="85">
        <f>D94-E94</f>
        <v>4078913.7399999998</v>
      </c>
    </row>
    <row r="95" spans="1:7" ht="15">
      <c r="A95" s="21" t="s">
        <v>312</v>
      </c>
      <c r="B95" s="85">
        <v>9984017</v>
      </c>
      <c r="C95" s="85">
        <v>2808775.38</v>
      </c>
      <c r="D95" s="85">
        <v>12792792.38</v>
      </c>
      <c r="E95" s="85">
        <v>2227211.38</v>
      </c>
      <c r="F95" s="85">
        <v>2227211.38</v>
      </c>
      <c r="G95" s="85">
        <f aca="true" t="shared" si="21" ref="G95:G102">D95-E95</f>
        <v>10565581</v>
      </c>
    </row>
    <row r="96" spans="1:7" ht="15">
      <c r="A96" s="21" t="s">
        <v>313</v>
      </c>
      <c r="B96" s="85">
        <v>0</v>
      </c>
      <c r="C96" s="85">
        <v>11138578</v>
      </c>
      <c r="D96" s="85">
        <v>11138578</v>
      </c>
      <c r="E96" s="85">
        <v>2039419.2</v>
      </c>
      <c r="F96" s="85">
        <v>2039419.2</v>
      </c>
      <c r="G96" s="85">
        <f t="shared" si="21"/>
        <v>9099158.8</v>
      </c>
    </row>
    <row r="97" spans="1:7" ht="15">
      <c r="A97" s="21" t="s">
        <v>314</v>
      </c>
      <c r="B97" s="85">
        <v>1273609</v>
      </c>
      <c r="C97" s="85">
        <v>2083762.26</v>
      </c>
      <c r="D97" s="85">
        <v>3357371.26</v>
      </c>
      <c r="E97" s="85">
        <v>718507.64</v>
      </c>
      <c r="F97" s="85">
        <v>718507.64</v>
      </c>
      <c r="G97" s="85">
        <f t="shared" si="21"/>
        <v>2638863.6199999996</v>
      </c>
    </row>
    <row r="98" spans="1:7" ht="15">
      <c r="A98" s="24" t="s">
        <v>315</v>
      </c>
      <c r="B98" s="85">
        <v>2865637</v>
      </c>
      <c r="C98" s="85">
        <v>-361923.59</v>
      </c>
      <c r="D98" s="85">
        <v>2503713.41</v>
      </c>
      <c r="E98" s="85">
        <v>147439.41</v>
      </c>
      <c r="F98" s="85">
        <v>147439.41</v>
      </c>
      <c r="G98" s="85">
        <f t="shared" si="21"/>
        <v>2356274</v>
      </c>
    </row>
    <row r="99" spans="1:7" ht="15">
      <c r="A99" s="21" t="s">
        <v>316</v>
      </c>
      <c r="B99" s="85">
        <v>10125837</v>
      </c>
      <c r="C99" s="85">
        <v>2064114.26</v>
      </c>
      <c r="D99" s="85">
        <v>12189951.26</v>
      </c>
      <c r="E99" s="85">
        <v>1832549.22</v>
      </c>
      <c r="F99" s="85">
        <v>1832549.22</v>
      </c>
      <c r="G99" s="85">
        <f t="shared" si="21"/>
        <v>10357402.04</v>
      </c>
    </row>
    <row r="100" spans="1:7" ht="15">
      <c r="A100" s="21" t="s">
        <v>317</v>
      </c>
      <c r="B100" s="85">
        <v>21388270</v>
      </c>
      <c r="C100" s="85">
        <v>179905.85</v>
      </c>
      <c r="D100" s="85">
        <v>21568175.85</v>
      </c>
      <c r="E100" s="85">
        <v>2735692.51</v>
      </c>
      <c r="F100" s="85">
        <v>2735692.51</v>
      </c>
      <c r="G100" s="85">
        <f t="shared" si="21"/>
        <v>18832483.340000004</v>
      </c>
    </row>
    <row r="101" spans="1:7" ht="15">
      <c r="A101" s="21" t="s">
        <v>318</v>
      </c>
      <c r="B101" s="85">
        <v>0</v>
      </c>
      <c r="C101" s="85">
        <v>2748620</v>
      </c>
      <c r="D101" s="85">
        <v>2748620</v>
      </c>
      <c r="E101" s="85">
        <v>22675.68</v>
      </c>
      <c r="F101" s="85">
        <v>22675.68</v>
      </c>
      <c r="G101" s="85">
        <f t="shared" si="21"/>
        <v>2725944.32</v>
      </c>
    </row>
    <row r="102" spans="1:7" ht="15">
      <c r="A102" s="21" t="s">
        <v>319</v>
      </c>
      <c r="B102" s="85">
        <v>5134371</v>
      </c>
      <c r="C102" s="85">
        <v>329474.77</v>
      </c>
      <c r="D102" s="85">
        <v>5463845.77</v>
      </c>
      <c r="E102" s="85">
        <v>199001.93</v>
      </c>
      <c r="F102" s="85">
        <v>199001.93</v>
      </c>
      <c r="G102" s="85">
        <f t="shared" si="21"/>
        <v>5264843.84</v>
      </c>
    </row>
    <row r="103" spans="1:7" ht="15">
      <c r="A103" s="20" t="s">
        <v>320</v>
      </c>
      <c r="B103" s="85">
        <f aca="true" t="shared" si="22" ref="B103:G103">SUM(B104:B112)</f>
        <v>281369018</v>
      </c>
      <c r="C103" s="85">
        <f t="shared" si="22"/>
        <v>-2152726.17</v>
      </c>
      <c r="D103" s="85">
        <f t="shared" si="22"/>
        <v>279216291.83</v>
      </c>
      <c r="E103" s="85">
        <f t="shared" si="22"/>
        <v>89425917.25</v>
      </c>
      <c r="F103" s="85">
        <f t="shared" si="22"/>
        <v>89425917.25</v>
      </c>
      <c r="G103" s="85">
        <f t="shared" si="22"/>
        <v>189790374.58</v>
      </c>
    </row>
    <row r="104" spans="1:7" ht="15">
      <c r="A104" s="21" t="s">
        <v>321</v>
      </c>
      <c r="B104" s="85">
        <v>128476035</v>
      </c>
      <c r="C104" s="85">
        <v>-28645717.13</v>
      </c>
      <c r="D104" s="85">
        <v>99830317.87</v>
      </c>
      <c r="E104" s="85">
        <v>23978975.37</v>
      </c>
      <c r="F104" s="85">
        <v>23978975.37</v>
      </c>
      <c r="G104" s="85">
        <f>D104-E104</f>
        <v>75851342.5</v>
      </c>
    </row>
    <row r="105" spans="1:7" ht="15">
      <c r="A105" s="21" t="s">
        <v>322</v>
      </c>
      <c r="B105" s="85">
        <v>9135550</v>
      </c>
      <c r="C105" s="85">
        <v>-8891.94</v>
      </c>
      <c r="D105" s="85">
        <v>9126658.06</v>
      </c>
      <c r="E105" s="85">
        <v>2472807.06</v>
      </c>
      <c r="F105" s="85">
        <v>2472807.06</v>
      </c>
      <c r="G105" s="85">
        <f aca="true" t="shared" si="23" ref="G105:G112">D105-E105</f>
        <v>6653851</v>
      </c>
    </row>
    <row r="106" spans="1:7" ht="15">
      <c r="A106" s="21" t="s">
        <v>323</v>
      </c>
      <c r="B106" s="85">
        <v>17021048</v>
      </c>
      <c r="C106" s="85">
        <v>2497318.71</v>
      </c>
      <c r="D106" s="85">
        <v>19518366.71</v>
      </c>
      <c r="E106" s="85">
        <v>3337442.75</v>
      </c>
      <c r="F106" s="85">
        <v>3337442.75</v>
      </c>
      <c r="G106" s="85">
        <f t="shared" si="23"/>
        <v>16180923.96</v>
      </c>
    </row>
    <row r="107" spans="1:7" ht="15">
      <c r="A107" s="21" t="s">
        <v>324</v>
      </c>
      <c r="B107" s="85">
        <v>497812</v>
      </c>
      <c r="C107" s="85">
        <v>960987.64</v>
      </c>
      <c r="D107" s="85">
        <v>1458799.64</v>
      </c>
      <c r="E107" s="85">
        <v>37529.59</v>
      </c>
      <c r="F107" s="85">
        <v>37529.59</v>
      </c>
      <c r="G107" s="85">
        <f t="shared" si="23"/>
        <v>1421270.0499999998</v>
      </c>
    </row>
    <row r="108" spans="1:7" ht="15">
      <c r="A108" s="21" t="s">
        <v>325</v>
      </c>
      <c r="B108" s="85">
        <v>114828450</v>
      </c>
      <c r="C108" s="85">
        <v>24729765.9</v>
      </c>
      <c r="D108" s="85">
        <v>139558215.9</v>
      </c>
      <c r="E108" s="85">
        <v>58543587.83</v>
      </c>
      <c r="F108" s="85">
        <v>58543587.83</v>
      </c>
      <c r="G108" s="85">
        <f t="shared" si="23"/>
        <v>81014628.07000001</v>
      </c>
    </row>
    <row r="109" spans="1:7" ht="15">
      <c r="A109" s="21" t="s">
        <v>326</v>
      </c>
      <c r="B109" s="85">
        <v>741650</v>
      </c>
      <c r="C109" s="85">
        <v>-163644.24</v>
      </c>
      <c r="D109" s="85">
        <v>578005.76</v>
      </c>
      <c r="E109" s="85">
        <v>133755.76</v>
      </c>
      <c r="F109" s="85">
        <v>133755.76</v>
      </c>
      <c r="G109" s="85">
        <f t="shared" si="23"/>
        <v>444250</v>
      </c>
    </row>
    <row r="110" spans="1:7" ht="15">
      <c r="A110" s="21" t="s">
        <v>327</v>
      </c>
      <c r="B110" s="85">
        <v>5084679</v>
      </c>
      <c r="C110" s="85">
        <v>-845116.94</v>
      </c>
      <c r="D110" s="85">
        <v>4239562.06</v>
      </c>
      <c r="E110" s="85">
        <v>345140.06</v>
      </c>
      <c r="F110" s="85">
        <v>345140.06</v>
      </c>
      <c r="G110" s="85">
        <f t="shared" si="23"/>
        <v>3894421.9999999995</v>
      </c>
    </row>
    <row r="111" spans="1:7" ht="15">
      <c r="A111" s="21" t="s">
        <v>328</v>
      </c>
      <c r="B111" s="85">
        <v>4824723</v>
      </c>
      <c r="C111" s="85">
        <v>-392666.17</v>
      </c>
      <c r="D111" s="85">
        <v>4432056.83</v>
      </c>
      <c r="E111" s="85">
        <v>574606.83</v>
      </c>
      <c r="F111" s="85">
        <v>574606.83</v>
      </c>
      <c r="G111" s="85">
        <f t="shared" si="23"/>
        <v>3857450</v>
      </c>
    </row>
    <row r="112" spans="1:7" ht="15">
      <c r="A112" s="21" t="s">
        <v>329</v>
      </c>
      <c r="B112" s="85">
        <v>759071</v>
      </c>
      <c r="C112" s="85">
        <v>-284762</v>
      </c>
      <c r="D112" s="85">
        <v>474309</v>
      </c>
      <c r="E112" s="85">
        <v>2072</v>
      </c>
      <c r="F112" s="85">
        <v>2072</v>
      </c>
      <c r="G112" s="85">
        <f t="shared" si="23"/>
        <v>472237</v>
      </c>
    </row>
    <row r="113" spans="1:7" ht="15">
      <c r="A113" s="20" t="s">
        <v>330</v>
      </c>
      <c r="B113" s="85">
        <f aca="true" t="shared" si="24" ref="B113:G113">SUM(B114:B122)</f>
        <v>4143698776</v>
      </c>
      <c r="C113" s="85">
        <f t="shared" si="24"/>
        <v>387811215.27000004</v>
      </c>
      <c r="D113" s="85">
        <f t="shared" si="24"/>
        <v>4531509991.27</v>
      </c>
      <c r="E113" s="85">
        <f t="shared" si="24"/>
        <v>1989222719.3</v>
      </c>
      <c r="F113" s="85">
        <f t="shared" si="24"/>
        <v>1989222719.3</v>
      </c>
      <c r="G113" s="85">
        <f t="shared" si="24"/>
        <v>2542287271.9700003</v>
      </c>
    </row>
    <row r="114" spans="1:7" ht="15">
      <c r="A114" s="21" t="s">
        <v>331</v>
      </c>
      <c r="B114" s="85">
        <v>0</v>
      </c>
      <c r="C114" s="85">
        <v>0</v>
      </c>
      <c r="D114" s="85">
        <v>0</v>
      </c>
      <c r="E114" s="85">
        <v>0</v>
      </c>
      <c r="F114" s="85">
        <v>0</v>
      </c>
      <c r="G114" s="85">
        <f>D114-E114</f>
        <v>0</v>
      </c>
    </row>
    <row r="115" spans="1:7" ht="15">
      <c r="A115" s="21" t="s">
        <v>332</v>
      </c>
      <c r="B115" s="85">
        <v>4132871496</v>
      </c>
      <c r="C115" s="85">
        <v>358681956.97</v>
      </c>
      <c r="D115" s="85">
        <v>4491553452.97</v>
      </c>
      <c r="E115" s="85">
        <v>1974374613.35</v>
      </c>
      <c r="F115" s="85">
        <v>1974374613.35</v>
      </c>
      <c r="G115" s="85">
        <f aca="true" t="shared" si="25" ref="G115:G122">D115-E115</f>
        <v>2517178839.6200004</v>
      </c>
    </row>
    <row r="116" spans="1:7" ht="15">
      <c r="A116" s="21" t="s">
        <v>333</v>
      </c>
      <c r="B116" s="85">
        <v>0</v>
      </c>
      <c r="C116" s="85">
        <v>0</v>
      </c>
      <c r="D116" s="85">
        <v>0</v>
      </c>
      <c r="E116" s="85">
        <v>0</v>
      </c>
      <c r="F116" s="85">
        <v>0</v>
      </c>
      <c r="G116" s="85">
        <f t="shared" si="25"/>
        <v>0</v>
      </c>
    </row>
    <row r="117" spans="1:7" ht="15">
      <c r="A117" s="21" t="s">
        <v>334</v>
      </c>
      <c r="B117" s="85">
        <v>10827280</v>
      </c>
      <c r="C117" s="85">
        <v>580000</v>
      </c>
      <c r="D117" s="85">
        <v>11407280</v>
      </c>
      <c r="E117" s="85">
        <v>0</v>
      </c>
      <c r="F117" s="85">
        <v>0</v>
      </c>
      <c r="G117" s="85">
        <f t="shared" si="25"/>
        <v>11407280</v>
      </c>
    </row>
    <row r="118" spans="1:7" ht="15">
      <c r="A118" s="21" t="s">
        <v>335</v>
      </c>
      <c r="B118" s="85">
        <v>0</v>
      </c>
      <c r="C118" s="85">
        <v>0</v>
      </c>
      <c r="D118" s="85">
        <v>0</v>
      </c>
      <c r="E118" s="85">
        <v>0</v>
      </c>
      <c r="F118" s="85">
        <v>0</v>
      </c>
      <c r="G118" s="85">
        <f t="shared" si="25"/>
        <v>0</v>
      </c>
    </row>
    <row r="119" spans="1:7" ht="15">
      <c r="A119" s="21" t="s">
        <v>336</v>
      </c>
      <c r="B119" s="85">
        <v>0</v>
      </c>
      <c r="C119" s="85">
        <v>28549258.3</v>
      </c>
      <c r="D119" s="85">
        <v>28549258.3</v>
      </c>
      <c r="E119" s="85">
        <v>14848105.95</v>
      </c>
      <c r="F119" s="85">
        <v>14848105.95</v>
      </c>
      <c r="G119" s="85">
        <f t="shared" si="25"/>
        <v>13701152.350000001</v>
      </c>
    </row>
    <row r="120" spans="1:7" ht="15">
      <c r="A120" s="21" t="s">
        <v>337</v>
      </c>
      <c r="B120" s="85">
        <v>0</v>
      </c>
      <c r="C120" s="85">
        <v>0</v>
      </c>
      <c r="D120" s="85">
        <v>0</v>
      </c>
      <c r="E120" s="85">
        <v>0</v>
      </c>
      <c r="F120" s="85">
        <v>0</v>
      </c>
      <c r="G120" s="85">
        <f t="shared" si="25"/>
        <v>0</v>
      </c>
    </row>
    <row r="121" spans="1:7" ht="15">
      <c r="A121" s="21" t="s">
        <v>338</v>
      </c>
      <c r="B121" s="85">
        <v>0</v>
      </c>
      <c r="C121" s="85">
        <v>0</v>
      </c>
      <c r="D121" s="85">
        <v>0</v>
      </c>
      <c r="E121" s="85">
        <v>0</v>
      </c>
      <c r="F121" s="85">
        <v>0</v>
      </c>
      <c r="G121" s="85">
        <f t="shared" si="25"/>
        <v>0</v>
      </c>
    </row>
    <row r="122" spans="1:7" ht="15">
      <c r="A122" s="21" t="s">
        <v>339</v>
      </c>
      <c r="B122" s="85">
        <v>0</v>
      </c>
      <c r="C122" s="85">
        <v>0</v>
      </c>
      <c r="D122" s="85">
        <v>0</v>
      </c>
      <c r="E122" s="85">
        <v>0</v>
      </c>
      <c r="F122" s="85">
        <v>0</v>
      </c>
      <c r="G122" s="85">
        <f t="shared" si="25"/>
        <v>0</v>
      </c>
    </row>
    <row r="123" spans="1:7" ht="15">
      <c r="A123" s="20" t="s">
        <v>340</v>
      </c>
      <c r="B123" s="85">
        <f aca="true" t="shared" si="26" ref="B123:G123">SUM(B124:B132)</f>
        <v>50786993</v>
      </c>
      <c r="C123" s="85">
        <f t="shared" si="26"/>
        <v>60751453.68</v>
      </c>
      <c r="D123" s="85">
        <f t="shared" si="26"/>
        <v>111538446.68</v>
      </c>
      <c r="E123" s="85">
        <f t="shared" si="26"/>
        <v>31789831.92</v>
      </c>
      <c r="F123" s="85">
        <f t="shared" si="26"/>
        <v>31789831.92</v>
      </c>
      <c r="G123" s="85">
        <f t="shared" si="26"/>
        <v>79748614.76</v>
      </c>
    </row>
    <row r="124" spans="1:7" ht="15">
      <c r="A124" s="21" t="s">
        <v>341</v>
      </c>
      <c r="B124" s="85">
        <v>21201885</v>
      </c>
      <c r="C124" s="85">
        <v>4922439.68</v>
      </c>
      <c r="D124" s="85">
        <v>26124324.68</v>
      </c>
      <c r="E124" s="85">
        <v>1930026.62</v>
      </c>
      <c r="F124" s="85">
        <v>1930026.62</v>
      </c>
      <c r="G124" s="85">
        <f>D124-E124</f>
        <v>24194298.06</v>
      </c>
    </row>
    <row r="125" spans="1:7" ht="15">
      <c r="A125" s="21" t="s">
        <v>342</v>
      </c>
      <c r="B125" s="85">
        <v>0</v>
      </c>
      <c r="C125" s="85">
        <v>490302</v>
      </c>
      <c r="D125" s="85">
        <v>490302</v>
      </c>
      <c r="E125" s="85">
        <v>0</v>
      </c>
      <c r="F125" s="85">
        <v>0</v>
      </c>
      <c r="G125" s="85">
        <f aca="true" t="shared" si="27" ref="G125:G132">D125-E125</f>
        <v>490302</v>
      </c>
    </row>
    <row r="126" spans="1:7" ht="15">
      <c r="A126" s="21" t="s">
        <v>343</v>
      </c>
      <c r="B126" s="85">
        <v>350000</v>
      </c>
      <c r="C126" s="85">
        <v>1850000</v>
      </c>
      <c r="D126" s="85">
        <v>2200000</v>
      </c>
      <c r="E126" s="85">
        <v>0</v>
      </c>
      <c r="F126" s="85">
        <v>0</v>
      </c>
      <c r="G126" s="85">
        <f t="shared" si="27"/>
        <v>2200000</v>
      </c>
    </row>
    <row r="127" spans="1:7" ht="15">
      <c r="A127" s="21" t="s">
        <v>344</v>
      </c>
      <c r="B127" s="85">
        <v>24663108</v>
      </c>
      <c r="C127" s="85">
        <v>46526323</v>
      </c>
      <c r="D127" s="85">
        <v>71189431</v>
      </c>
      <c r="E127" s="85">
        <v>29859805.3</v>
      </c>
      <c r="F127" s="85">
        <v>29859805.3</v>
      </c>
      <c r="G127" s="85">
        <f t="shared" si="27"/>
        <v>41329625.7</v>
      </c>
    </row>
    <row r="128" spans="1:7" ht="15">
      <c r="A128" s="21" t="s">
        <v>345</v>
      </c>
      <c r="B128" s="85">
        <v>0</v>
      </c>
      <c r="C128" s="85">
        <v>432100</v>
      </c>
      <c r="D128" s="85">
        <v>432100</v>
      </c>
      <c r="E128" s="85">
        <v>0</v>
      </c>
      <c r="F128" s="85">
        <v>0</v>
      </c>
      <c r="G128" s="85">
        <f t="shared" si="27"/>
        <v>432100</v>
      </c>
    </row>
    <row r="129" spans="1:7" ht="15">
      <c r="A129" s="21" t="s">
        <v>346</v>
      </c>
      <c r="B129" s="85">
        <v>1532000</v>
      </c>
      <c r="C129" s="85">
        <v>-43197</v>
      </c>
      <c r="D129" s="85">
        <v>1488803</v>
      </c>
      <c r="E129" s="85">
        <v>0</v>
      </c>
      <c r="F129" s="85">
        <v>0</v>
      </c>
      <c r="G129" s="85">
        <f t="shared" si="27"/>
        <v>1488803</v>
      </c>
    </row>
    <row r="130" spans="1:7" ht="15">
      <c r="A130" s="21" t="s">
        <v>347</v>
      </c>
      <c r="B130" s="85">
        <v>0</v>
      </c>
      <c r="C130" s="85">
        <v>0</v>
      </c>
      <c r="D130" s="85">
        <v>0</v>
      </c>
      <c r="E130" s="85">
        <v>0</v>
      </c>
      <c r="F130" s="85">
        <v>0</v>
      </c>
      <c r="G130" s="85">
        <f t="shared" si="27"/>
        <v>0</v>
      </c>
    </row>
    <row r="131" spans="1:7" ht="15">
      <c r="A131" s="21" t="s">
        <v>348</v>
      </c>
      <c r="B131" s="85">
        <v>0</v>
      </c>
      <c r="C131" s="85">
        <v>0</v>
      </c>
      <c r="D131" s="85">
        <v>0</v>
      </c>
      <c r="E131" s="85">
        <v>0</v>
      </c>
      <c r="F131" s="85">
        <v>0</v>
      </c>
      <c r="G131" s="85">
        <f t="shared" si="27"/>
        <v>0</v>
      </c>
    </row>
    <row r="132" spans="1:7" ht="15">
      <c r="A132" s="21" t="s">
        <v>349</v>
      </c>
      <c r="B132" s="85">
        <v>3040000</v>
      </c>
      <c r="C132" s="85">
        <v>6573486</v>
      </c>
      <c r="D132" s="85">
        <v>9613486</v>
      </c>
      <c r="E132" s="85">
        <v>0</v>
      </c>
      <c r="F132" s="85">
        <v>0</v>
      </c>
      <c r="G132" s="85">
        <f t="shared" si="27"/>
        <v>9613486</v>
      </c>
    </row>
    <row r="133" spans="1:7" ht="15">
      <c r="A133" s="20" t="s">
        <v>350</v>
      </c>
      <c r="B133" s="85">
        <f aca="true" t="shared" si="28" ref="B133:G133">SUM(B134:B136)</f>
        <v>488314264</v>
      </c>
      <c r="C133" s="85">
        <f t="shared" si="28"/>
        <v>314281907.65</v>
      </c>
      <c r="D133" s="85">
        <f t="shared" si="28"/>
        <v>802596171.6500001</v>
      </c>
      <c r="E133" s="85">
        <f t="shared" si="28"/>
        <v>458017081.85</v>
      </c>
      <c r="F133" s="85">
        <f t="shared" si="28"/>
        <v>458017081.85</v>
      </c>
      <c r="G133" s="85">
        <f t="shared" si="28"/>
        <v>344579089.8</v>
      </c>
    </row>
    <row r="134" spans="1:7" ht="15">
      <c r="A134" s="21" t="s">
        <v>351</v>
      </c>
      <c r="B134" s="85">
        <v>458888800</v>
      </c>
      <c r="C134" s="85">
        <v>316495377.2</v>
      </c>
      <c r="D134" s="85">
        <v>775384177.2</v>
      </c>
      <c r="E134" s="85">
        <v>454079744.11</v>
      </c>
      <c r="F134" s="85">
        <v>454079744.11</v>
      </c>
      <c r="G134" s="85">
        <f>D134-E134</f>
        <v>321304433.09000003</v>
      </c>
    </row>
    <row r="135" spans="1:7" ht="15">
      <c r="A135" s="21" t="s">
        <v>352</v>
      </c>
      <c r="B135" s="85">
        <v>29425464</v>
      </c>
      <c r="C135" s="85">
        <v>-2213469.55</v>
      </c>
      <c r="D135" s="85">
        <v>27211994.45</v>
      </c>
      <c r="E135" s="85">
        <v>3937337.74</v>
      </c>
      <c r="F135" s="85">
        <v>3937337.74</v>
      </c>
      <c r="G135" s="85">
        <f>D135-E135</f>
        <v>23274656.71</v>
      </c>
    </row>
    <row r="136" spans="1:7" ht="15">
      <c r="A136" s="21" t="s">
        <v>353</v>
      </c>
      <c r="B136" s="85">
        <v>0</v>
      </c>
      <c r="C136" s="85">
        <v>0</v>
      </c>
      <c r="D136" s="85">
        <v>0</v>
      </c>
      <c r="E136" s="85">
        <v>0</v>
      </c>
      <c r="F136" s="85">
        <v>0</v>
      </c>
      <c r="G136" s="85">
        <f>D136-E136</f>
        <v>0</v>
      </c>
    </row>
    <row r="137" spans="1:7" ht="15">
      <c r="A137" s="20" t="s">
        <v>354</v>
      </c>
      <c r="B137" s="85">
        <f aca="true" t="shared" si="29" ref="B137:G137">SUM(B138:B142,B144:B145)</f>
        <v>0</v>
      </c>
      <c r="C137" s="85">
        <f t="shared" si="29"/>
        <v>0</v>
      </c>
      <c r="D137" s="85">
        <f t="shared" si="29"/>
        <v>0</v>
      </c>
      <c r="E137" s="85">
        <f t="shared" si="29"/>
        <v>0</v>
      </c>
      <c r="F137" s="85">
        <f t="shared" si="29"/>
        <v>0</v>
      </c>
      <c r="G137" s="85">
        <f t="shared" si="29"/>
        <v>0</v>
      </c>
    </row>
    <row r="138" spans="1:7" ht="15">
      <c r="A138" s="21" t="s">
        <v>355</v>
      </c>
      <c r="B138" s="85">
        <v>0</v>
      </c>
      <c r="C138" s="85">
        <v>0</v>
      </c>
      <c r="D138" s="85">
        <v>0</v>
      </c>
      <c r="E138" s="85">
        <v>0</v>
      </c>
      <c r="F138" s="85">
        <v>0</v>
      </c>
      <c r="G138" s="85">
        <f>D138-E138</f>
        <v>0</v>
      </c>
    </row>
    <row r="139" spans="1:7" ht="15">
      <c r="A139" s="21" t="s">
        <v>356</v>
      </c>
      <c r="B139" s="85">
        <v>0</v>
      </c>
      <c r="C139" s="85">
        <v>0</v>
      </c>
      <c r="D139" s="85">
        <v>0</v>
      </c>
      <c r="E139" s="85">
        <v>0</v>
      </c>
      <c r="F139" s="85">
        <v>0</v>
      </c>
      <c r="G139" s="85">
        <f aca="true" t="shared" si="30" ref="G139:G145">D139-E139</f>
        <v>0</v>
      </c>
    </row>
    <row r="140" spans="1:7" ht="15">
      <c r="A140" s="21" t="s">
        <v>357</v>
      </c>
      <c r="B140" s="85">
        <v>0</v>
      </c>
      <c r="C140" s="85">
        <v>0</v>
      </c>
      <c r="D140" s="85">
        <v>0</v>
      </c>
      <c r="E140" s="85">
        <v>0</v>
      </c>
      <c r="F140" s="85">
        <v>0</v>
      </c>
      <c r="G140" s="85">
        <f t="shared" si="30"/>
        <v>0</v>
      </c>
    </row>
    <row r="141" spans="1:7" ht="15">
      <c r="A141" s="21" t="s">
        <v>358</v>
      </c>
      <c r="B141" s="85">
        <v>0</v>
      </c>
      <c r="C141" s="85">
        <v>0</v>
      </c>
      <c r="D141" s="85">
        <v>0</v>
      </c>
      <c r="E141" s="85">
        <v>0</v>
      </c>
      <c r="F141" s="85">
        <v>0</v>
      </c>
      <c r="G141" s="85">
        <f t="shared" si="30"/>
        <v>0</v>
      </c>
    </row>
    <row r="142" spans="1:7" ht="15">
      <c r="A142" s="21" t="s">
        <v>359</v>
      </c>
      <c r="B142" s="85">
        <v>0</v>
      </c>
      <c r="C142" s="85">
        <v>0</v>
      </c>
      <c r="D142" s="85">
        <v>0</v>
      </c>
      <c r="E142" s="85">
        <v>0</v>
      </c>
      <c r="F142" s="85">
        <v>0</v>
      </c>
      <c r="G142" s="85">
        <f t="shared" si="30"/>
        <v>0</v>
      </c>
    </row>
    <row r="143" spans="1:7" ht="15">
      <c r="A143" s="21" t="s">
        <v>360</v>
      </c>
      <c r="B143" s="85">
        <v>0</v>
      </c>
      <c r="C143" s="85">
        <v>0</v>
      </c>
      <c r="D143" s="85">
        <v>0</v>
      </c>
      <c r="E143" s="85">
        <v>0</v>
      </c>
      <c r="F143" s="85">
        <v>0</v>
      </c>
      <c r="G143" s="85">
        <f t="shared" si="30"/>
        <v>0</v>
      </c>
    </row>
    <row r="144" spans="1:7" ht="15">
      <c r="A144" s="21" t="s">
        <v>361</v>
      </c>
      <c r="B144" s="85">
        <v>0</v>
      </c>
      <c r="C144" s="85">
        <v>0</v>
      </c>
      <c r="D144" s="85">
        <v>0</v>
      </c>
      <c r="E144" s="85">
        <v>0</v>
      </c>
      <c r="F144" s="85">
        <v>0</v>
      </c>
      <c r="G144" s="85">
        <f t="shared" si="30"/>
        <v>0</v>
      </c>
    </row>
    <row r="145" spans="1:7" ht="15">
      <c r="A145" s="21" t="s">
        <v>362</v>
      </c>
      <c r="B145" s="85">
        <v>0</v>
      </c>
      <c r="C145" s="85">
        <v>0</v>
      </c>
      <c r="D145" s="85">
        <v>0</v>
      </c>
      <c r="E145" s="85">
        <v>0</v>
      </c>
      <c r="F145" s="85">
        <v>0</v>
      </c>
      <c r="G145" s="85">
        <f t="shared" si="30"/>
        <v>0</v>
      </c>
    </row>
    <row r="146" spans="1:7" ht="15">
      <c r="A146" s="20" t="s">
        <v>363</v>
      </c>
      <c r="B146" s="85">
        <f aca="true" t="shared" si="31" ref="B146:G146">SUM(B147:B149)</f>
        <v>1572139898</v>
      </c>
      <c r="C146" s="85">
        <f t="shared" si="31"/>
        <v>193689742.95</v>
      </c>
      <c r="D146" s="85">
        <f t="shared" si="31"/>
        <v>1765829640.9499998</v>
      </c>
      <c r="E146" s="85">
        <f t="shared" si="31"/>
        <v>1019983117.11</v>
      </c>
      <c r="F146" s="85">
        <f t="shared" si="31"/>
        <v>1019983117.11</v>
      </c>
      <c r="G146" s="85">
        <f t="shared" si="31"/>
        <v>745846523.8399999</v>
      </c>
    </row>
    <row r="147" spans="1:7" ht="15">
      <c r="A147" s="21" t="s">
        <v>364</v>
      </c>
      <c r="B147" s="85">
        <v>0</v>
      </c>
      <c r="C147" s="85">
        <v>0</v>
      </c>
      <c r="D147" s="85">
        <v>0</v>
      </c>
      <c r="E147" s="85">
        <v>0</v>
      </c>
      <c r="F147" s="85">
        <v>0</v>
      </c>
      <c r="G147" s="85">
        <f>D147-E147</f>
        <v>0</v>
      </c>
    </row>
    <row r="148" spans="1:7" ht="15">
      <c r="A148" s="21" t="s">
        <v>365</v>
      </c>
      <c r="B148" s="85">
        <v>1474236409</v>
      </c>
      <c r="C148" s="85">
        <v>-8017383.9</v>
      </c>
      <c r="D148" s="85">
        <v>1466219025.1</v>
      </c>
      <c r="E148" s="85">
        <v>814298044.1</v>
      </c>
      <c r="F148" s="85">
        <v>814298044.1</v>
      </c>
      <c r="G148" s="85">
        <f>D148-E148</f>
        <v>651920980.9999999</v>
      </c>
    </row>
    <row r="149" spans="1:7" ht="15">
      <c r="A149" s="21" t="s">
        <v>366</v>
      </c>
      <c r="B149" s="85">
        <v>97903489</v>
      </c>
      <c r="C149" s="85">
        <v>201707126.85</v>
      </c>
      <c r="D149" s="85">
        <v>299610615.85</v>
      </c>
      <c r="E149" s="85">
        <v>205685073.01</v>
      </c>
      <c r="F149" s="85">
        <v>205685073.01</v>
      </c>
      <c r="G149" s="85">
        <f>D149-E149</f>
        <v>93925542.84000003</v>
      </c>
    </row>
    <row r="150" spans="1:7" ht="15">
      <c r="A150" s="20" t="s">
        <v>367</v>
      </c>
      <c r="B150" s="85">
        <f aca="true" t="shared" si="32" ref="B150:G150">SUM(B151:B157)</f>
        <v>0</v>
      </c>
      <c r="C150" s="85">
        <f t="shared" si="32"/>
        <v>0</v>
      </c>
      <c r="D150" s="85">
        <f t="shared" si="32"/>
        <v>0</v>
      </c>
      <c r="E150" s="85">
        <f t="shared" si="32"/>
        <v>0</v>
      </c>
      <c r="F150" s="85">
        <f t="shared" si="32"/>
        <v>0</v>
      </c>
      <c r="G150" s="85">
        <f t="shared" si="32"/>
        <v>0</v>
      </c>
    </row>
    <row r="151" spans="1:7" ht="15">
      <c r="A151" s="21" t="s">
        <v>368</v>
      </c>
      <c r="B151" s="85">
        <v>0</v>
      </c>
      <c r="C151" s="85">
        <v>0</v>
      </c>
      <c r="D151" s="85">
        <v>0</v>
      </c>
      <c r="E151" s="85">
        <v>0</v>
      </c>
      <c r="F151" s="85">
        <v>0</v>
      </c>
      <c r="G151" s="85">
        <f>D151-E151</f>
        <v>0</v>
      </c>
    </row>
    <row r="152" spans="1:7" ht="15">
      <c r="A152" s="21" t="s">
        <v>369</v>
      </c>
      <c r="B152" s="85">
        <v>0</v>
      </c>
      <c r="C152" s="85">
        <v>0</v>
      </c>
      <c r="D152" s="85">
        <v>0</v>
      </c>
      <c r="E152" s="85">
        <v>0</v>
      </c>
      <c r="F152" s="85">
        <v>0</v>
      </c>
      <c r="G152" s="85">
        <f aca="true" t="shared" si="33" ref="G152:G157">D152-E152</f>
        <v>0</v>
      </c>
    </row>
    <row r="153" spans="1:7" ht="15">
      <c r="A153" s="21" t="s">
        <v>370</v>
      </c>
      <c r="B153" s="85">
        <v>0</v>
      </c>
      <c r="C153" s="85">
        <v>0</v>
      </c>
      <c r="D153" s="85">
        <v>0</v>
      </c>
      <c r="E153" s="85">
        <v>0</v>
      </c>
      <c r="F153" s="85">
        <v>0</v>
      </c>
      <c r="G153" s="85">
        <f t="shared" si="33"/>
        <v>0</v>
      </c>
    </row>
    <row r="154" spans="1:7" ht="15">
      <c r="A154" s="24" t="s">
        <v>371</v>
      </c>
      <c r="B154" s="85">
        <v>0</v>
      </c>
      <c r="C154" s="85">
        <v>0</v>
      </c>
      <c r="D154" s="85">
        <v>0</v>
      </c>
      <c r="E154" s="85">
        <v>0</v>
      </c>
      <c r="F154" s="85">
        <v>0</v>
      </c>
      <c r="G154" s="85">
        <f t="shared" si="33"/>
        <v>0</v>
      </c>
    </row>
    <row r="155" spans="1:7" ht="15">
      <c r="A155" s="21" t="s">
        <v>372</v>
      </c>
      <c r="B155" s="85">
        <v>0</v>
      </c>
      <c r="C155" s="85">
        <v>0</v>
      </c>
      <c r="D155" s="85">
        <v>0</v>
      </c>
      <c r="E155" s="85">
        <v>0</v>
      </c>
      <c r="F155" s="85">
        <v>0</v>
      </c>
      <c r="G155" s="85">
        <f t="shared" si="33"/>
        <v>0</v>
      </c>
    </row>
    <row r="156" spans="1:7" ht="15">
      <c r="A156" s="21" t="s">
        <v>373</v>
      </c>
      <c r="B156" s="85">
        <v>0</v>
      </c>
      <c r="C156" s="85">
        <v>0</v>
      </c>
      <c r="D156" s="85">
        <v>0</v>
      </c>
      <c r="E156" s="85">
        <v>0</v>
      </c>
      <c r="F156" s="85">
        <v>0</v>
      </c>
      <c r="G156" s="85">
        <f t="shared" si="33"/>
        <v>0</v>
      </c>
    </row>
    <row r="157" spans="1:7" ht="15">
      <c r="A157" s="21" t="s">
        <v>374</v>
      </c>
      <c r="B157" s="85">
        <v>0</v>
      </c>
      <c r="C157" s="85">
        <v>0</v>
      </c>
      <c r="D157" s="85">
        <v>0</v>
      </c>
      <c r="E157" s="85">
        <v>0</v>
      </c>
      <c r="F157" s="85">
        <v>0</v>
      </c>
      <c r="G157" s="85">
        <f t="shared" si="33"/>
        <v>0</v>
      </c>
    </row>
    <row r="158" spans="1:7" ht="15">
      <c r="A158" s="25"/>
      <c r="B158" s="86"/>
      <c r="C158" s="86"/>
      <c r="D158" s="86"/>
      <c r="E158" s="86"/>
      <c r="F158" s="86"/>
      <c r="G158" s="86"/>
    </row>
    <row r="159" spans="1:7" ht="15">
      <c r="A159" s="26" t="s">
        <v>376</v>
      </c>
      <c r="B159" s="87">
        <f aca="true" t="shared" si="34" ref="B159:G159">B9+B84</f>
        <v>21982741867</v>
      </c>
      <c r="C159" s="87">
        <f t="shared" si="34"/>
        <v>2320602738.95</v>
      </c>
      <c r="D159" s="87">
        <f t="shared" si="34"/>
        <v>24303344605.949997</v>
      </c>
      <c r="E159" s="87">
        <f t="shared" si="34"/>
        <v>10753760749.720001</v>
      </c>
      <c r="F159" s="87">
        <f t="shared" si="34"/>
        <v>10681755101.369999</v>
      </c>
      <c r="G159" s="87">
        <f t="shared" si="34"/>
        <v>13549583856.23</v>
      </c>
    </row>
    <row r="160" spans="1:7" ht="15">
      <c r="A160" s="4"/>
      <c r="B160" s="119"/>
      <c r="C160" s="119"/>
      <c r="D160" s="119"/>
      <c r="E160" s="119"/>
      <c r="F160" s="119"/>
      <c r="G160" s="120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2" fitToWidth="1" horizontalDpi="600" verticalDpi="600" orientation="portrait" scale="42" r:id="rId1"/>
  <ignoredErrors>
    <ignoredError sqref="B9:G10 G11:G17 G19:G27 B18:F18 B28:F28 G29:G37 B38:F38 B48:F48 G55:G57 G59:G61 G63:G70 B62:F62 B71:F71 B75:F75 G76:G78 G72:G74 G79:G82 B84:G84 B85:F85 G85:G92 G94:G102 B103:F103 G104:G112 G114:G120 B113:F113 B123:F123 G121:G122 G124:G132 B133:F133 B137:F137 G135:G136 G138:G139 G140:G145 G147:G149 B146:F146 B150:F150 G151:G157 B159:G159" unlockedFormula="1"/>
    <ignoredError sqref="G18 G28 G38 G39:G54 G62 G58 B58:F58 G75 G71 B93:G93 G103 G123 G134 G133 G137 G146 G150 G11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1">
      <selection activeCell="A6" sqref="A6:G6"/>
    </sheetView>
  </sheetViews>
  <sheetFormatPr defaultColWidth="0" defaultRowHeight="15" zeroHeight="1"/>
  <cols>
    <col min="1" max="1" width="59.28125" style="39" customWidth="1"/>
    <col min="2" max="6" width="20.7109375" style="39" customWidth="1"/>
    <col min="7" max="7" width="18.28125" style="39" customWidth="1"/>
    <col min="8" max="16384" width="11.421875" style="0" hidden="1" customWidth="1"/>
  </cols>
  <sheetData>
    <row r="1" spans="1:7" ht="21">
      <c r="A1" s="148" t="s">
        <v>377</v>
      </c>
      <c r="B1" s="148"/>
      <c r="C1" s="148"/>
      <c r="D1" s="148"/>
      <c r="E1" s="148"/>
      <c r="F1" s="148"/>
      <c r="G1" s="148"/>
    </row>
    <row r="2" spans="1:7" ht="15">
      <c r="A2" s="126" t="s">
        <v>291</v>
      </c>
      <c r="B2" s="127"/>
      <c r="C2" s="127"/>
      <c r="D2" s="127"/>
      <c r="E2" s="127"/>
      <c r="F2" s="127"/>
      <c r="G2" s="128"/>
    </row>
    <row r="3" spans="1:7" ht="15">
      <c r="A3" s="129" t="s">
        <v>293</v>
      </c>
      <c r="B3" s="130"/>
      <c r="C3" s="130"/>
      <c r="D3" s="130"/>
      <c r="E3" s="130"/>
      <c r="F3" s="130"/>
      <c r="G3" s="131"/>
    </row>
    <row r="4" spans="1:7" ht="15">
      <c r="A4" s="129" t="s">
        <v>378</v>
      </c>
      <c r="B4" s="130"/>
      <c r="C4" s="130"/>
      <c r="D4" s="130"/>
      <c r="E4" s="130"/>
      <c r="F4" s="130"/>
      <c r="G4" s="131"/>
    </row>
    <row r="5" spans="1:7" ht="15">
      <c r="A5" s="132" t="s">
        <v>484</v>
      </c>
      <c r="B5" s="133"/>
      <c r="C5" s="133"/>
      <c r="D5" s="133"/>
      <c r="E5" s="133"/>
      <c r="F5" s="133"/>
      <c r="G5" s="134"/>
    </row>
    <row r="6" spans="1:7" ht="15">
      <c r="A6" s="135" t="s">
        <v>2</v>
      </c>
      <c r="B6" s="136"/>
      <c r="C6" s="136"/>
      <c r="D6" s="136"/>
      <c r="E6" s="136"/>
      <c r="F6" s="136"/>
      <c r="G6" s="137"/>
    </row>
    <row r="7" spans="1:7" ht="15">
      <c r="A7" s="142" t="s">
        <v>4</v>
      </c>
      <c r="B7" s="144" t="s">
        <v>295</v>
      </c>
      <c r="C7" s="144"/>
      <c r="D7" s="144"/>
      <c r="E7" s="144"/>
      <c r="F7" s="144"/>
      <c r="G7" s="147" t="s">
        <v>296</v>
      </c>
    </row>
    <row r="8" spans="1:7" ht="30">
      <c r="A8" s="143"/>
      <c r="B8" s="18" t="s">
        <v>297</v>
      </c>
      <c r="C8" s="6" t="s">
        <v>226</v>
      </c>
      <c r="D8" s="18" t="s">
        <v>227</v>
      </c>
      <c r="E8" s="18" t="s">
        <v>182</v>
      </c>
      <c r="F8" s="18" t="s">
        <v>199</v>
      </c>
      <c r="G8" s="146"/>
    </row>
    <row r="9" spans="1:7" ht="15">
      <c r="A9" s="19" t="s">
        <v>379</v>
      </c>
      <c r="B9" s="106">
        <f>SUM(B10:GASTO_NE_FIN_01)</f>
        <v>10872529362</v>
      </c>
      <c r="C9" s="106">
        <f>SUM(C10:GASTO_NE_FIN_02)</f>
        <v>1346851816.0800002</v>
      </c>
      <c r="D9" s="106">
        <f>SUM(D10:GASTO_NE_FIN_03)</f>
        <v>12219381178.080002</v>
      </c>
      <c r="E9" s="106">
        <f>SUM(E10:GASTO_NE_FIN_04)</f>
        <v>5269359449.009999</v>
      </c>
      <c r="F9" s="106">
        <f>SUM(F10:cvbcvb)</f>
        <v>5197353800.66</v>
      </c>
      <c r="G9" s="106">
        <f>SUM(G10:GASTO_NE_FIN_06)</f>
        <v>6950021729.070001</v>
      </c>
    </row>
    <row r="10" spans="1:7" ht="15">
      <c r="A10" s="40" t="s">
        <v>438</v>
      </c>
      <c r="B10" s="85">
        <v>212944296</v>
      </c>
      <c r="C10" s="85">
        <v>16522021.59</v>
      </c>
      <c r="D10" s="85">
        <v>229466317.59</v>
      </c>
      <c r="E10" s="85">
        <v>77421112.62</v>
      </c>
      <c r="F10" s="85">
        <v>77202166.67</v>
      </c>
      <c r="G10" s="85">
        <f>D10-E10</f>
        <v>152045204.97</v>
      </c>
    </row>
    <row r="11" spans="1:7" ht="15">
      <c r="A11" s="40" t="s">
        <v>439</v>
      </c>
      <c r="B11" s="85">
        <v>391239633</v>
      </c>
      <c r="C11" s="85">
        <v>4511280.3</v>
      </c>
      <c r="D11" s="85">
        <v>395750913.3</v>
      </c>
      <c r="E11" s="85">
        <v>173358107.05</v>
      </c>
      <c r="F11" s="85">
        <v>173123307.09</v>
      </c>
      <c r="G11" s="85">
        <f aca="true" t="shared" si="0" ref="G11:G38">D11-E11</f>
        <v>222392806.25</v>
      </c>
    </row>
    <row r="12" spans="1:7" ht="15">
      <c r="A12" s="40" t="s">
        <v>440</v>
      </c>
      <c r="B12" s="85">
        <v>375543907</v>
      </c>
      <c r="C12" s="85">
        <v>-12513165.43</v>
      </c>
      <c r="D12" s="85">
        <v>363030741.57</v>
      </c>
      <c r="E12" s="85">
        <v>119590349.47</v>
      </c>
      <c r="F12" s="85">
        <v>119441814.58</v>
      </c>
      <c r="G12" s="85">
        <f t="shared" si="0"/>
        <v>243440392.1</v>
      </c>
    </row>
    <row r="13" spans="1:7" ht="30">
      <c r="A13" s="82" t="s">
        <v>441</v>
      </c>
      <c r="B13" s="85">
        <v>211154572</v>
      </c>
      <c r="C13" s="85">
        <v>7817507.68</v>
      </c>
      <c r="D13" s="85">
        <v>218972079.68</v>
      </c>
      <c r="E13" s="85">
        <v>84191385.76</v>
      </c>
      <c r="F13" s="85">
        <v>83943385.76</v>
      </c>
      <c r="G13" s="85">
        <f t="shared" si="0"/>
        <v>134780693.92000002</v>
      </c>
    </row>
    <row r="14" spans="1:7" ht="15">
      <c r="A14" s="40" t="s">
        <v>442</v>
      </c>
      <c r="B14" s="85">
        <v>55147506</v>
      </c>
      <c r="C14" s="85">
        <v>15065044.86</v>
      </c>
      <c r="D14" s="85">
        <v>70212550.86</v>
      </c>
      <c r="E14" s="85">
        <v>30221499.63</v>
      </c>
      <c r="F14" s="85">
        <v>30211946.23</v>
      </c>
      <c r="G14" s="85">
        <f t="shared" si="0"/>
        <v>39991051.230000004</v>
      </c>
    </row>
    <row r="15" spans="1:7" ht="15">
      <c r="A15" s="40" t="s">
        <v>443</v>
      </c>
      <c r="B15" s="85">
        <v>39612273</v>
      </c>
      <c r="C15" s="85">
        <v>2944725.11</v>
      </c>
      <c r="D15" s="85">
        <v>42556998.11</v>
      </c>
      <c r="E15" s="85">
        <v>15530013.89</v>
      </c>
      <c r="F15" s="85">
        <v>15484138.89</v>
      </c>
      <c r="G15" s="85">
        <f t="shared" si="0"/>
        <v>27026984.22</v>
      </c>
    </row>
    <row r="16" spans="1:7" ht="15">
      <c r="A16" s="40" t="s">
        <v>444</v>
      </c>
      <c r="B16" s="85">
        <v>595382518</v>
      </c>
      <c r="C16" s="85">
        <v>-40932852.84</v>
      </c>
      <c r="D16" s="85">
        <v>554449665.16</v>
      </c>
      <c r="E16" s="85">
        <v>177044893.7</v>
      </c>
      <c r="F16" s="85">
        <v>174162037.98</v>
      </c>
      <c r="G16" s="85">
        <f t="shared" si="0"/>
        <v>377404771.46</v>
      </c>
    </row>
    <row r="17" spans="1:7" ht="15">
      <c r="A17" s="40" t="s">
        <v>445</v>
      </c>
      <c r="B17" s="85">
        <v>172334726</v>
      </c>
      <c r="C17" s="85">
        <v>1235830.84</v>
      </c>
      <c r="D17" s="85">
        <v>173570556.84</v>
      </c>
      <c r="E17" s="85">
        <v>52831686.94</v>
      </c>
      <c r="F17" s="85">
        <v>52691483.82</v>
      </c>
      <c r="G17" s="85">
        <f t="shared" si="0"/>
        <v>120738869.9</v>
      </c>
    </row>
    <row r="18" spans="1:7" ht="15">
      <c r="A18" s="40" t="s">
        <v>446</v>
      </c>
      <c r="B18" s="85">
        <v>362096281</v>
      </c>
      <c r="C18" s="85">
        <v>14935302.13</v>
      </c>
      <c r="D18" s="85">
        <v>377031583.13</v>
      </c>
      <c r="E18" s="85">
        <v>162771569.75</v>
      </c>
      <c r="F18" s="85">
        <v>160813489.69</v>
      </c>
      <c r="G18" s="85">
        <f t="shared" si="0"/>
        <v>214260013.38</v>
      </c>
    </row>
    <row r="19" spans="1:7" ht="15">
      <c r="A19" s="40" t="s">
        <v>447</v>
      </c>
      <c r="B19" s="85">
        <v>211572253</v>
      </c>
      <c r="C19" s="85">
        <v>18992234.09</v>
      </c>
      <c r="D19" s="85">
        <v>230564487.09</v>
      </c>
      <c r="E19" s="85">
        <v>77165875.33</v>
      </c>
      <c r="F19" s="85">
        <v>53509699.07</v>
      </c>
      <c r="G19" s="85">
        <f t="shared" si="0"/>
        <v>153398611.76</v>
      </c>
    </row>
    <row r="20" spans="1:7" ht="15">
      <c r="A20" s="40" t="s">
        <v>448</v>
      </c>
      <c r="B20" s="85">
        <v>11298008</v>
      </c>
      <c r="C20" s="85">
        <v>61158735.3</v>
      </c>
      <c r="D20" s="85">
        <v>72456743.3</v>
      </c>
      <c r="E20" s="85">
        <v>4636696.47</v>
      </c>
      <c r="F20" s="85">
        <v>4635234.87</v>
      </c>
      <c r="G20" s="85">
        <f t="shared" si="0"/>
        <v>67820046.83</v>
      </c>
    </row>
    <row r="21" spans="1:7" ht="15">
      <c r="A21" s="40" t="s">
        <v>449</v>
      </c>
      <c r="B21" s="85">
        <v>55104768</v>
      </c>
      <c r="C21" s="85">
        <v>736766.5</v>
      </c>
      <c r="D21" s="85">
        <v>55841534.5</v>
      </c>
      <c r="E21" s="85">
        <v>23939369.01</v>
      </c>
      <c r="F21" s="85">
        <v>23938369.01</v>
      </c>
      <c r="G21" s="85">
        <f t="shared" si="0"/>
        <v>31902165.49</v>
      </c>
    </row>
    <row r="22" spans="1:7" ht="15">
      <c r="A22" s="40" t="s">
        <v>450</v>
      </c>
      <c r="B22" s="85">
        <v>133199591</v>
      </c>
      <c r="C22" s="85">
        <v>60205154.74</v>
      </c>
      <c r="D22" s="85">
        <v>193404745.74</v>
      </c>
      <c r="E22" s="85">
        <v>108146472.09</v>
      </c>
      <c r="F22" s="85">
        <v>108030601.6</v>
      </c>
      <c r="G22" s="85">
        <f t="shared" si="0"/>
        <v>85258273.65</v>
      </c>
    </row>
    <row r="23" spans="1:7" ht="15">
      <c r="A23" s="40" t="s">
        <v>451</v>
      </c>
      <c r="B23" s="85">
        <v>58663257</v>
      </c>
      <c r="C23" s="85">
        <v>2446609.35</v>
      </c>
      <c r="D23" s="85">
        <v>61109866.35</v>
      </c>
      <c r="E23" s="85">
        <v>35097243.72</v>
      </c>
      <c r="F23" s="85">
        <v>35047243.72</v>
      </c>
      <c r="G23" s="85">
        <f t="shared" si="0"/>
        <v>26012622.630000003</v>
      </c>
    </row>
    <row r="24" spans="1:7" ht="30">
      <c r="A24" s="82" t="s">
        <v>478</v>
      </c>
      <c r="B24" s="85">
        <v>52987535</v>
      </c>
      <c r="C24" s="85">
        <v>2300666.48</v>
      </c>
      <c r="D24" s="85">
        <v>55288201.48</v>
      </c>
      <c r="E24" s="85">
        <v>24289253.01</v>
      </c>
      <c r="F24" s="85">
        <v>24289253.01</v>
      </c>
      <c r="G24" s="85">
        <f t="shared" si="0"/>
        <v>30998948.469999995</v>
      </c>
    </row>
    <row r="25" spans="1:7" ht="30">
      <c r="A25" s="82" t="s">
        <v>452</v>
      </c>
      <c r="B25" s="85">
        <v>306763431</v>
      </c>
      <c r="C25" s="85">
        <v>966038251.45</v>
      </c>
      <c r="D25" s="85">
        <v>1272801682.45</v>
      </c>
      <c r="E25" s="85">
        <v>328214167.73</v>
      </c>
      <c r="F25" s="85">
        <v>328214167.73</v>
      </c>
      <c r="G25" s="85">
        <f t="shared" si="0"/>
        <v>944587514.72</v>
      </c>
    </row>
    <row r="26" spans="1:7" ht="15">
      <c r="A26" s="40" t="s">
        <v>453</v>
      </c>
      <c r="B26" s="85">
        <v>71454954</v>
      </c>
      <c r="C26" s="85">
        <v>6705060</v>
      </c>
      <c r="D26" s="85">
        <v>78160014</v>
      </c>
      <c r="E26" s="85">
        <v>36764248.59</v>
      </c>
      <c r="F26" s="85">
        <v>35563731.77</v>
      </c>
      <c r="G26" s="85">
        <f t="shared" si="0"/>
        <v>41395765.41</v>
      </c>
    </row>
    <row r="27" spans="1:7" ht="15">
      <c r="A27" s="40" t="s">
        <v>454</v>
      </c>
      <c r="B27" s="85">
        <v>48112504</v>
      </c>
      <c r="C27" s="85">
        <v>161831.05</v>
      </c>
      <c r="D27" s="85">
        <v>48274335.05</v>
      </c>
      <c r="E27" s="85">
        <v>22294642.04</v>
      </c>
      <c r="F27" s="85">
        <v>21884643.04</v>
      </c>
      <c r="G27" s="85">
        <f t="shared" si="0"/>
        <v>25979693.009999998</v>
      </c>
    </row>
    <row r="28" spans="1:7" ht="15">
      <c r="A28" s="40" t="s">
        <v>455</v>
      </c>
      <c r="B28" s="85">
        <v>672262982</v>
      </c>
      <c r="C28" s="85">
        <v>-4978977.22</v>
      </c>
      <c r="D28" s="85">
        <v>667284004.78</v>
      </c>
      <c r="E28" s="85">
        <v>294886908.63</v>
      </c>
      <c r="F28" s="85">
        <v>294886908.63</v>
      </c>
      <c r="G28" s="85">
        <f t="shared" si="0"/>
        <v>372397096.15</v>
      </c>
    </row>
    <row r="29" spans="1:7" ht="15">
      <c r="A29" s="40" t="s">
        <v>456</v>
      </c>
      <c r="B29" s="85">
        <v>95006148</v>
      </c>
      <c r="C29" s="85">
        <v>7275006.59</v>
      </c>
      <c r="D29" s="85">
        <v>102281154.59</v>
      </c>
      <c r="E29" s="85">
        <v>46181741.8</v>
      </c>
      <c r="F29" s="85">
        <v>46131391.22</v>
      </c>
      <c r="G29" s="85">
        <f t="shared" si="0"/>
        <v>56099412.79000001</v>
      </c>
    </row>
    <row r="30" spans="1:7" ht="15">
      <c r="A30" s="40" t="s">
        <v>457</v>
      </c>
      <c r="B30" s="85">
        <v>21381199</v>
      </c>
      <c r="C30" s="85">
        <v>1049566.64</v>
      </c>
      <c r="D30" s="85">
        <v>22430765.64</v>
      </c>
      <c r="E30" s="85">
        <v>9200003.33</v>
      </c>
      <c r="F30" s="85">
        <v>9200003.33</v>
      </c>
      <c r="G30" s="85">
        <f t="shared" si="0"/>
        <v>13230762.31</v>
      </c>
    </row>
    <row r="31" spans="1:7" ht="15">
      <c r="A31" s="40" t="s">
        <v>458</v>
      </c>
      <c r="B31" s="85">
        <v>393374186</v>
      </c>
      <c r="C31" s="85">
        <v>-942887.97</v>
      </c>
      <c r="D31" s="85">
        <v>392431298.03</v>
      </c>
      <c r="E31" s="85">
        <v>167911166.8</v>
      </c>
      <c r="F31" s="85">
        <v>167911166.8</v>
      </c>
      <c r="G31" s="85">
        <f t="shared" si="0"/>
        <v>224520131.22999996</v>
      </c>
    </row>
    <row r="32" spans="1:7" ht="15">
      <c r="A32" s="40" t="s">
        <v>459</v>
      </c>
      <c r="B32" s="85">
        <v>352937060</v>
      </c>
      <c r="C32" s="85">
        <v>-8081573.36</v>
      </c>
      <c r="D32" s="85">
        <v>344855486.64</v>
      </c>
      <c r="E32" s="85">
        <v>125907271.71</v>
      </c>
      <c r="F32" s="85">
        <v>125907271.71</v>
      </c>
      <c r="G32" s="85">
        <f t="shared" si="0"/>
        <v>218948214.93</v>
      </c>
    </row>
    <row r="33" spans="1:7" ht="15">
      <c r="A33" s="40" t="s">
        <v>460</v>
      </c>
      <c r="B33" s="85">
        <v>243041230</v>
      </c>
      <c r="C33" s="85">
        <v>0</v>
      </c>
      <c r="D33" s="85">
        <v>243041230</v>
      </c>
      <c r="E33" s="85">
        <v>124995262</v>
      </c>
      <c r="F33" s="85">
        <v>124995262</v>
      </c>
      <c r="G33" s="85">
        <f t="shared" si="0"/>
        <v>118045968</v>
      </c>
    </row>
    <row r="34" spans="1:7" ht="15">
      <c r="A34" s="40" t="s">
        <v>461</v>
      </c>
      <c r="B34" s="85">
        <v>314230866</v>
      </c>
      <c r="C34" s="85">
        <v>4851152.7</v>
      </c>
      <c r="D34" s="85">
        <v>319082018.7</v>
      </c>
      <c r="E34" s="85">
        <v>157339967.22</v>
      </c>
      <c r="F34" s="85">
        <v>157339967.22</v>
      </c>
      <c r="G34" s="85">
        <f t="shared" si="0"/>
        <v>161742051.48</v>
      </c>
    </row>
    <row r="35" spans="1:7" ht="15">
      <c r="A35" s="40" t="s">
        <v>462</v>
      </c>
      <c r="B35" s="85">
        <v>257727076</v>
      </c>
      <c r="C35" s="85">
        <v>11829932</v>
      </c>
      <c r="D35" s="85">
        <v>269557008</v>
      </c>
      <c r="E35" s="85">
        <v>116125528.89</v>
      </c>
      <c r="F35" s="85">
        <v>114948625</v>
      </c>
      <c r="G35" s="85">
        <f t="shared" si="0"/>
        <v>153431479.11</v>
      </c>
    </row>
    <row r="36" spans="1:7" ht="15">
      <c r="A36" s="40" t="s">
        <v>463</v>
      </c>
      <c r="B36" s="85">
        <v>2308377618</v>
      </c>
      <c r="C36" s="85">
        <v>189150373.55</v>
      </c>
      <c r="D36" s="85">
        <v>2497527991.55</v>
      </c>
      <c r="E36" s="85">
        <v>1194300243.25</v>
      </c>
      <c r="F36" s="85">
        <v>1158059221.39</v>
      </c>
      <c r="G36" s="85">
        <f t="shared" si="0"/>
        <v>1303227748.3000002</v>
      </c>
    </row>
    <row r="37" spans="1:7" ht="15">
      <c r="A37" s="40" t="s">
        <v>464</v>
      </c>
      <c r="B37" s="85">
        <v>67296000</v>
      </c>
      <c r="C37" s="85">
        <v>8325000</v>
      </c>
      <c r="D37" s="85">
        <v>75621000</v>
      </c>
      <c r="E37" s="85">
        <v>53978418.75</v>
      </c>
      <c r="F37" s="85">
        <v>50762919</v>
      </c>
      <c r="G37" s="85">
        <f t="shared" si="0"/>
        <v>21642581.25</v>
      </c>
    </row>
    <row r="38" spans="1:7" ht="15">
      <c r="A38" s="40" t="s">
        <v>465</v>
      </c>
      <c r="B38" s="85">
        <v>2782282984</v>
      </c>
      <c r="C38" s="85">
        <v>10043219.95</v>
      </c>
      <c r="D38" s="85">
        <v>2792326203.95</v>
      </c>
      <c r="E38" s="85">
        <v>1425024349.83</v>
      </c>
      <c r="F38" s="85">
        <v>1425024349.83</v>
      </c>
      <c r="G38" s="85">
        <f t="shared" si="0"/>
        <v>1367301854.12</v>
      </c>
    </row>
    <row r="39" spans="1:7" ht="15">
      <c r="A39" s="41" t="s">
        <v>146</v>
      </c>
      <c r="B39" s="86"/>
      <c r="C39" s="86"/>
      <c r="D39" s="86"/>
      <c r="E39" s="86"/>
      <c r="F39" s="86"/>
      <c r="G39" s="86"/>
    </row>
    <row r="40" spans="1:7" ht="15">
      <c r="A40" s="23" t="s">
        <v>380</v>
      </c>
      <c r="B40" s="87">
        <f>SUM(B41:cbvbcvbcv)</f>
        <v>11110212505</v>
      </c>
      <c r="C40" s="87">
        <f>SUM(C41:GASTO_E_FIN_02)</f>
        <v>973750922.87</v>
      </c>
      <c r="D40" s="87">
        <f>SUM(D41:cvbcvbcbv)</f>
        <v>12083963427.87</v>
      </c>
      <c r="E40" s="87">
        <f>SUM(E41:GASTO_E_FIN_04)</f>
        <v>5484401300.71</v>
      </c>
      <c r="F40" s="87">
        <f>SUM(F41:GASTO_E_FIN_05)</f>
        <v>5484401300.71</v>
      </c>
      <c r="G40" s="87">
        <f>SUM(G41:GASTO_E_FIN_06)</f>
        <v>6599562127.16</v>
      </c>
    </row>
    <row r="41" spans="1:7" ht="15">
      <c r="A41" s="40" t="s">
        <v>439</v>
      </c>
      <c r="B41" s="85">
        <v>87423249</v>
      </c>
      <c r="C41" s="85">
        <v>-20971995.54</v>
      </c>
      <c r="D41" s="85">
        <v>66451253.46</v>
      </c>
      <c r="E41" s="85">
        <v>5668050.24</v>
      </c>
      <c r="F41" s="85">
        <v>5668050.24</v>
      </c>
      <c r="G41" s="85">
        <f aca="true" t="shared" si="1" ref="G41:G46">D41-E41</f>
        <v>60783203.22</v>
      </c>
    </row>
    <row r="42" spans="1:7" ht="15">
      <c r="A42" s="40" t="s">
        <v>440</v>
      </c>
      <c r="B42" s="85">
        <v>20000000</v>
      </c>
      <c r="C42" s="85">
        <v>0</v>
      </c>
      <c r="D42" s="85">
        <v>20000000</v>
      </c>
      <c r="E42" s="85">
        <v>0</v>
      </c>
      <c r="F42" s="85">
        <v>0</v>
      </c>
      <c r="G42" s="85">
        <f t="shared" si="1"/>
        <v>20000000</v>
      </c>
    </row>
    <row r="43" spans="1:7" ht="15">
      <c r="A43" s="40" t="s">
        <v>444</v>
      </c>
      <c r="B43" s="85">
        <v>4727004857</v>
      </c>
      <c r="C43" s="85">
        <v>134115148.72</v>
      </c>
      <c r="D43" s="85">
        <v>4861120005.72</v>
      </c>
      <c r="E43" s="85">
        <v>2091395053.55</v>
      </c>
      <c r="F43" s="85">
        <v>2091395053.55</v>
      </c>
      <c r="G43" s="85">
        <f t="shared" si="1"/>
        <v>2769724952.17</v>
      </c>
    </row>
    <row r="44" spans="1:7" ht="15">
      <c r="A44" s="40" t="s">
        <v>445</v>
      </c>
      <c r="B44" s="85">
        <v>0</v>
      </c>
      <c r="C44" s="85">
        <v>534718.75</v>
      </c>
      <c r="D44" s="85">
        <v>534718.75</v>
      </c>
      <c r="E44" s="85">
        <v>534718.75</v>
      </c>
      <c r="F44" s="85">
        <v>534718.75</v>
      </c>
      <c r="G44" s="85">
        <f t="shared" si="1"/>
        <v>0</v>
      </c>
    </row>
    <row r="45" spans="1:7" ht="15">
      <c r="A45" s="40" t="s">
        <v>447</v>
      </c>
      <c r="B45" s="85">
        <v>48919519</v>
      </c>
      <c r="C45" s="85">
        <v>0</v>
      </c>
      <c r="D45" s="85">
        <v>48919519</v>
      </c>
      <c r="E45" s="85">
        <v>0</v>
      </c>
      <c r="F45" s="85">
        <v>0</v>
      </c>
      <c r="G45" s="85">
        <f t="shared" si="1"/>
        <v>48919519</v>
      </c>
    </row>
    <row r="46" spans="1:7" ht="15">
      <c r="A46" s="40" t="s">
        <v>450</v>
      </c>
      <c r="B46" s="85">
        <v>19329439</v>
      </c>
      <c r="C46" s="85">
        <v>0</v>
      </c>
      <c r="D46" s="85">
        <v>19329439</v>
      </c>
      <c r="E46" s="85">
        <v>2182522.97</v>
      </c>
      <c r="F46" s="85">
        <v>2182522.97</v>
      </c>
      <c r="G46" s="85">
        <f t="shared" si="1"/>
        <v>17146916.03</v>
      </c>
    </row>
    <row r="47" spans="1:7" ht="30">
      <c r="A47" s="82" t="s">
        <v>478</v>
      </c>
      <c r="B47" s="85">
        <v>2500000</v>
      </c>
      <c r="C47" s="85">
        <v>15119345.6</v>
      </c>
      <c r="D47" s="85">
        <v>17619345.6</v>
      </c>
      <c r="E47" s="85">
        <v>7783800</v>
      </c>
      <c r="F47" s="85">
        <v>7783800</v>
      </c>
      <c r="G47" s="85">
        <f aca="true" t="shared" si="2" ref="G47:G58">D47-E47</f>
        <v>9835545.600000001</v>
      </c>
    </row>
    <row r="48" spans="1:7" ht="30">
      <c r="A48" s="82" t="s">
        <v>452</v>
      </c>
      <c r="B48" s="85">
        <v>415788800</v>
      </c>
      <c r="C48" s="85">
        <v>334858063.2</v>
      </c>
      <c r="D48" s="85">
        <v>750646863.2</v>
      </c>
      <c r="E48" s="85">
        <v>455641076.32</v>
      </c>
      <c r="F48" s="85">
        <v>455641076.32</v>
      </c>
      <c r="G48" s="85">
        <f t="shared" si="2"/>
        <v>295005786.88000005</v>
      </c>
    </row>
    <row r="49" spans="1:7" ht="15">
      <c r="A49" s="82" t="s">
        <v>453</v>
      </c>
      <c r="B49" s="85">
        <v>0</v>
      </c>
      <c r="C49" s="85">
        <v>2355060</v>
      </c>
      <c r="D49" s="85">
        <v>2355060</v>
      </c>
      <c r="E49" s="85">
        <v>0</v>
      </c>
      <c r="F49" s="85">
        <v>0</v>
      </c>
      <c r="G49" s="85">
        <f t="shared" si="2"/>
        <v>2355060</v>
      </c>
    </row>
    <row r="50" spans="1:7" ht="15">
      <c r="A50" s="82" t="s">
        <v>454</v>
      </c>
      <c r="B50" s="85">
        <v>0</v>
      </c>
      <c r="C50" s="85">
        <v>16000000</v>
      </c>
      <c r="D50" s="85">
        <v>16000000</v>
      </c>
      <c r="E50" s="85">
        <v>16000000</v>
      </c>
      <c r="F50" s="85">
        <v>16000000</v>
      </c>
      <c r="G50" s="85">
        <f t="shared" si="2"/>
        <v>0</v>
      </c>
    </row>
    <row r="51" spans="1:7" ht="15">
      <c r="A51" s="40" t="s">
        <v>455</v>
      </c>
      <c r="B51" s="85">
        <v>55225847</v>
      </c>
      <c r="C51" s="85">
        <v>25199797.05</v>
      </c>
      <c r="D51" s="85">
        <v>80425644.05</v>
      </c>
      <c r="E51" s="85">
        <v>6050952.08</v>
      </c>
      <c r="F51" s="85">
        <v>6050952.08</v>
      </c>
      <c r="G51" s="85">
        <f t="shared" si="2"/>
        <v>74374691.97</v>
      </c>
    </row>
    <row r="52" spans="1:7" ht="15">
      <c r="A52" s="40" t="s">
        <v>456</v>
      </c>
      <c r="B52" s="85">
        <v>0</v>
      </c>
      <c r="C52" s="85">
        <v>19200000</v>
      </c>
      <c r="D52" s="85">
        <v>19200000</v>
      </c>
      <c r="E52" s="85">
        <v>19142135.3</v>
      </c>
      <c r="F52" s="85">
        <v>19142135.3</v>
      </c>
      <c r="G52" s="85">
        <f t="shared" si="2"/>
        <v>57864.699999999255</v>
      </c>
    </row>
    <row r="53" spans="1:7" ht="15">
      <c r="A53" s="40" t="s">
        <v>458</v>
      </c>
      <c r="B53" s="85">
        <v>32009400</v>
      </c>
      <c r="C53" s="85">
        <v>7328201.01</v>
      </c>
      <c r="D53" s="85">
        <v>39337601.01</v>
      </c>
      <c r="E53" s="85">
        <v>6709890.91</v>
      </c>
      <c r="F53" s="85">
        <v>6709890.91</v>
      </c>
      <c r="G53" s="85">
        <f t="shared" si="2"/>
        <v>32627710.099999998</v>
      </c>
    </row>
    <row r="54" spans="1:7" ht="15">
      <c r="A54" s="40" t="s">
        <v>460</v>
      </c>
      <c r="B54" s="85">
        <v>0</v>
      </c>
      <c r="C54" s="85">
        <v>1187578.11</v>
      </c>
      <c r="D54" s="85">
        <v>1187578.11</v>
      </c>
      <c r="E54" s="85">
        <v>1187578.11</v>
      </c>
      <c r="F54" s="85">
        <v>1187578.11</v>
      </c>
      <c r="G54" s="85">
        <f t="shared" si="2"/>
        <v>0</v>
      </c>
    </row>
    <row r="55" spans="1:7" ht="15">
      <c r="A55" s="40" t="s">
        <v>461</v>
      </c>
      <c r="B55" s="85">
        <v>0</v>
      </c>
      <c r="C55" s="85">
        <v>40294371.21</v>
      </c>
      <c r="D55" s="85">
        <v>40294371.21</v>
      </c>
      <c r="E55" s="85">
        <v>16035884.09</v>
      </c>
      <c r="F55" s="85">
        <v>16035884.09</v>
      </c>
      <c r="G55" s="85">
        <f t="shared" si="2"/>
        <v>24258487.12</v>
      </c>
    </row>
    <row r="56" spans="1:7" ht="15">
      <c r="A56" s="40" t="s">
        <v>463</v>
      </c>
      <c r="B56" s="85">
        <v>4132871496</v>
      </c>
      <c r="C56" s="85">
        <v>358681956.97</v>
      </c>
      <c r="D56" s="85">
        <v>4491553452.97</v>
      </c>
      <c r="E56" s="85">
        <v>1974374613.35</v>
      </c>
      <c r="F56" s="85">
        <v>1974374613.35</v>
      </c>
      <c r="G56" s="85">
        <f t="shared" si="2"/>
        <v>2517178839.6200004</v>
      </c>
    </row>
    <row r="57" spans="1:7" ht="15">
      <c r="A57" s="40" t="s">
        <v>464</v>
      </c>
      <c r="B57" s="85">
        <v>0</v>
      </c>
      <c r="C57" s="85">
        <v>28549258.3</v>
      </c>
      <c r="D57" s="85">
        <v>28549258.3</v>
      </c>
      <c r="E57" s="85">
        <v>14848105.95</v>
      </c>
      <c r="F57" s="85">
        <v>14848105.95</v>
      </c>
      <c r="G57" s="85">
        <f t="shared" si="2"/>
        <v>13701152.350000001</v>
      </c>
    </row>
    <row r="58" spans="1:7" ht="15">
      <c r="A58" s="40" t="s">
        <v>465</v>
      </c>
      <c r="B58" s="85">
        <v>1569139898</v>
      </c>
      <c r="C58" s="85">
        <v>11299419.49</v>
      </c>
      <c r="D58" s="85">
        <v>1580439317.49</v>
      </c>
      <c r="E58" s="85">
        <v>866846919.09</v>
      </c>
      <c r="F58" s="85">
        <v>866846919.09</v>
      </c>
      <c r="G58" s="85">
        <f t="shared" si="2"/>
        <v>713592398.4</v>
      </c>
    </row>
    <row r="59" spans="1:7" ht="15">
      <c r="A59" s="41" t="s">
        <v>146</v>
      </c>
      <c r="B59" s="29"/>
      <c r="C59" s="29"/>
      <c r="D59" s="29"/>
      <c r="E59" s="29"/>
      <c r="F59" s="29"/>
      <c r="G59" s="29"/>
    </row>
    <row r="60" spans="1:7" ht="15">
      <c r="A60" s="23" t="s">
        <v>376</v>
      </c>
      <c r="B60" s="87">
        <f>GASTO_NE_T1+vcvcbvcbcvb</f>
        <v>21982741867</v>
      </c>
      <c r="C60" s="87">
        <f>cvbvcbcbvbc+cvbcbvbcvbvc</f>
        <v>2320602738.9500003</v>
      </c>
      <c r="D60" s="87">
        <f>vcbvbcbdfgfdg+GASTO_E_T3</f>
        <v>24303344605.950005</v>
      </c>
      <c r="E60" s="87">
        <f>GASTO_NE_T4+GASTO_E_T4</f>
        <v>10753760749.72</v>
      </c>
      <c r="F60" s="87">
        <f>GASTO_NE_T5+GASTO_E_T5</f>
        <v>10681755101.369999</v>
      </c>
      <c r="G60" s="87">
        <f>GASTO_NE_T6+GASTO_E_T6</f>
        <v>13549583856.23</v>
      </c>
    </row>
    <row r="61" spans="1:7" ht="15">
      <c r="A61" s="35"/>
      <c r="B61" s="121"/>
      <c r="C61" s="121"/>
      <c r="D61" s="121"/>
      <c r="E61" s="121"/>
      <c r="F61" s="121"/>
      <c r="G61" s="121"/>
    </row>
    <row r="62" spans="1:7" ht="15" hidden="1">
      <c r="A62"/>
      <c r="B62"/>
      <c r="C62"/>
      <c r="D62"/>
      <c r="E62"/>
      <c r="F62"/>
      <c r="G62"/>
    </row>
    <row r="63" spans="1:7" ht="15" hidden="1">
      <c r="A63"/>
      <c r="B63"/>
      <c r="C63"/>
      <c r="D63"/>
      <c r="E63"/>
      <c r="F63"/>
      <c r="G63"/>
    </row>
    <row r="64" spans="1:7" ht="15" hidden="1">
      <c r="A64"/>
      <c r="B64"/>
      <c r="C64"/>
      <c r="D64"/>
      <c r="E64"/>
      <c r="F64"/>
      <c r="G64"/>
    </row>
    <row r="65" spans="1:7" ht="15" hidden="1">
      <c r="A65"/>
      <c r="B65"/>
      <c r="C65"/>
      <c r="D65"/>
      <c r="E65"/>
      <c r="F65"/>
      <c r="G65"/>
    </row>
    <row r="66" spans="1:7" ht="15" hidden="1">
      <c r="A66"/>
      <c r="B66"/>
      <c r="C66"/>
      <c r="D66"/>
      <c r="E66"/>
      <c r="F66"/>
      <c r="G66"/>
    </row>
    <row r="67" spans="1:7" ht="15" hidden="1">
      <c r="A67"/>
      <c r="B67"/>
      <c r="C67"/>
      <c r="D67"/>
      <c r="E67"/>
      <c r="F67"/>
      <c r="G67"/>
    </row>
    <row r="68" spans="1:7" ht="15" hidden="1">
      <c r="A68"/>
      <c r="B68"/>
      <c r="C68"/>
      <c r="D68"/>
      <c r="E68"/>
      <c r="F68"/>
      <c r="G68"/>
    </row>
    <row r="69" spans="1:7" ht="15" hidden="1">
      <c r="A69"/>
      <c r="B69"/>
      <c r="C69"/>
      <c r="D69"/>
      <c r="E69"/>
      <c r="F69"/>
      <c r="G69"/>
    </row>
    <row r="70" spans="1:7" ht="15" hidden="1">
      <c r="A70"/>
      <c r="B70"/>
      <c r="C70"/>
      <c r="D70"/>
      <c r="E70"/>
      <c r="F70"/>
      <c r="G70"/>
    </row>
    <row r="71" spans="1:7" ht="15" hidden="1">
      <c r="A71"/>
      <c r="B71"/>
      <c r="C71"/>
      <c r="D71"/>
      <c r="E71"/>
      <c r="F71"/>
      <c r="G71"/>
    </row>
    <row r="72" spans="1:7" ht="15" hidden="1">
      <c r="A72"/>
      <c r="B72"/>
      <c r="C72"/>
      <c r="D72"/>
      <c r="E72"/>
      <c r="F72"/>
      <c r="G72"/>
    </row>
    <row r="73" spans="1:7" ht="15" hidden="1">
      <c r="A73"/>
      <c r="B73"/>
      <c r="C73"/>
      <c r="D73"/>
      <c r="E73"/>
      <c r="F73"/>
      <c r="G73"/>
    </row>
    <row r="74" spans="1:7" ht="15" hidden="1">
      <c r="A74"/>
      <c r="B74"/>
      <c r="C74"/>
      <c r="D74"/>
      <c r="E74"/>
      <c r="F74"/>
      <c r="G74"/>
    </row>
    <row r="75" spans="1:7" ht="15" hidden="1">
      <c r="A75"/>
      <c r="B75"/>
      <c r="C75"/>
      <c r="D75"/>
      <c r="E75"/>
      <c r="F75"/>
      <c r="G75"/>
    </row>
    <row r="76" spans="1:7" ht="15" hidden="1">
      <c r="A76"/>
      <c r="B76"/>
      <c r="C76"/>
      <c r="D76"/>
      <c r="E76"/>
      <c r="F76"/>
      <c r="G76"/>
    </row>
    <row r="77" ht="15"/>
    <row r="78" ht="15" hidden="1"/>
    <row r="79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60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5" fitToWidth="1" horizontalDpi="600" verticalDpi="600" orientation="portrait" scale="52" r:id="rId1"/>
  <ignoredErrors>
    <ignoredError sqref="B9:F9 B40:F40 B60:G60 G9:G38 G40:G48 G49:G5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A6" sqref="A6:G6"/>
    </sheetView>
  </sheetViews>
  <sheetFormatPr defaultColWidth="0" defaultRowHeight="15" zeroHeight="1"/>
  <cols>
    <col min="1" max="1" width="74.57421875" style="39" customWidth="1"/>
    <col min="2" max="6" width="20.7109375" style="39" customWidth="1"/>
    <col min="7" max="7" width="17.8515625" style="39" bestFit="1" customWidth="1"/>
    <col min="8" max="16384" width="11.421875" style="0" hidden="1" customWidth="1"/>
  </cols>
  <sheetData>
    <row r="1" spans="1:7" ht="21">
      <c r="A1" s="151" t="s">
        <v>381</v>
      </c>
      <c r="B1" s="152"/>
      <c r="C1" s="152"/>
      <c r="D1" s="152"/>
      <c r="E1" s="152"/>
      <c r="F1" s="152"/>
      <c r="G1" s="152"/>
    </row>
    <row r="2" spans="1:7" ht="15">
      <c r="A2" s="126" t="s">
        <v>291</v>
      </c>
      <c r="B2" s="127"/>
      <c r="C2" s="127"/>
      <c r="D2" s="127"/>
      <c r="E2" s="127"/>
      <c r="F2" s="127"/>
      <c r="G2" s="128"/>
    </row>
    <row r="3" spans="1:7" ht="15">
      <c r="A3" s="129" t="s">
        <v>382</v>
      </c>
      <c r="B3" s="130"/>
      <c r="C3" s="130"/>
      <c r="D3" s="130"/>
      <c r="E3" s="130"/>
      <c r="F3" s="130"/>
      <c r="G3" s="131"/>
    </row>
    <row r="4" spans="1:7" ht="15">
      <c r="A4" s="129" t="s">
        <v>383</v>
      </c>
      <c r="B4" s="130"/>
      <c r="C4" s="130"/>
      <c r="D4" s="130"/>
      <c r="E4" s="130"/>
      <c r="F4" s="130"/>
      <c r="G4" s="131"/>
    </row>
    <row r="5" spans="1:7" ht="15">
      <c r="A5" s="132" t="s">
        <v>484</v>
      </c>
      <c r="B5" s="133"/>
      <c r="C5" s="133"/>
      <c r="D5" s="133"/>
      <c r="E5" s="133"/>
      <c r="F5" s="133"/>
      <c r="G5" s="134"/>
    </row>
    <row r="6" spans="1:7" ht="15">
      <c r="A6" s="135" t="s">
        <v>2</v>
      </c>
      <c r="B6" s="136"/>
      <c r="C6" s="136"/>
      <c r="D6" s="136"/>
      <c r="E6" s="136"/>
      <c r="F6" s="136"/>
      <c r="G6" s="137"/>
    </row>
    <row r="7" spans="1:7" ht="15">
      <c r="A7" s="130" t="s">
        <v>4</v>
      </c>
      <c r="B7" s="135" t="s">
        <v>295</v>
      </c>
      <c r="C7" s="136"/>
      <c r="D7" s="136"/>
      <c r="E7" s="136"/>
      <c r="F7" s="137"/>
      <c r="G7" s="147" t="s">
        <v>384</v>
      </c>
    </row>
    <row r="8" spans="1:7" ht="30">
      <c r="A8" s="130"/>
      <c r="B8" s="18" t="s">
        <v>297</v>
      </c>
      <c r="C8" s="6" t="s">
        <v>385</v>
      </c>
      <c r="D8" s="18" t="s">
        <v>299</v>
      </c>
      <c r="E8" s="18" t="s">
        <v>182</v>
      </c>
      <c r="F8" s="30" t="s">
        <v>199</v>
      </c>
      <c r="G8" s="146"/>
    </row>
    <row r="9" spans="1:7" ht="15">
      <c r="A9" s="19" t="s">
        <v>386</v>
      </c>
      <c r="B9" s="107">
        <f aca="true" t="shared" si="0" ref="B9:G9">SUM(B10,B19,B27,B37)</f>
        <v>10872529362</v>
      </c>
      <c r="C9" s="107">
        <f t="shared" si="0"/>
        <v>1346851816.0800002</v>
      </c>
      <c r="D9" s="107">
        <f t="shared" si="0"/>
        <v>12219381178.08</v>
      </c>
      <c r="E9" s="107">
        <f t="shared" si="0"/>
        <v>5269359449.01</v>
      </c>
      <c r="F9" s="107">
        <f t="shared" si="0"/>
        <v>5197353800.66</v>
      </c>
      <c r="G9" s="107">
        <f t="shared" si="0"/>
        <v>6950021729.07</v>
      </c>
    </row>
    <row r="10" spans="1:7" ht="15">
      <c r="A10" s="20" t="s">
        <v>387</v>
      </c>
      <c r="B10" s="108">
        <f aca="true" t="shared" si="1" ref="B10:G10">SUM(B11:B18)</f>
        <v>3387545399</v>
      </c>
      <c r="C10" s="108">
        <f t="shared" si="1"/>
        <v>88455409.07000001</v>
      </c>
      <c r="D10" s="108">
        <f t="shared" si="1"/>
        <v>3476000808.07</v>
      </c>
      <c r="E10" s="108">
        <f t="shared" si="1"/>
        <v>1461917208.49</v>
      </c>
      <c r="F10" s="108">
        <f t="shared" si="1"/>
        <v>1459010424.32</v>
      </c>
      <c r="G10" s="108">
        <f t="shared" si="1"/>
        <v>2014083599.58</v>
      </c>
    </row>
    <row r="11" spans="1:7" ht="15">
      <c r="A11" s="21" t="s">
        <v>388</v>
      </c>
      <c r="B11" s="108">
        <v>243041230</v>
      </c>
      <c r="C11" s="108">
        <v>0</v>
      </c>
      <c r="D11" s="108">
        <v>243041230</v>
      </c>
      <c r="E11" s="108">
        <v>124995262</v>
      </c>
      <c r="F11" s="108">
        <v>124995262</v>
      </c>
      <c r="G11" s="108">
        <f>D11-E11</f>
        <v>118045968</v>
      </c>
    </row>
    <row r="12" spans="1:7" ht="15">
      <c r="A12" s="21" t="s">
        <v>389</v>
      </c>
      <c r="B12" s="108">
        <v>952367359</v>
      </c>
      <c r="C12" s="108">
        <v>2126049.27</v>
      </c>
      <c r="D12" s="108">
        <v>954493408.27</v>
      </c>
      <c r="E12" s="108">
        <v>440302090.41</v>
      </c>
      <c r="F12" s="108">
        <v>438824152.52</v>
      </c>
      <c r="G12" s="108">
        <f aca="true" t="shared" si="2" ref="G12:G18">D12-E12</f>
        <v>514191317.85999995</v>
      </c>
    </row>
    <row r="13" spans="1:7" ht="15">
      <c r="A13" s="21" t="s">
        <v>390</v>
      </c>
      <c r="B13" s="108">
        <v>716995891</v>
      </c>
      <c r="C13" s="108">
        <v>35498782.09</v>
      </c>
      <c r="D13" s="108">
        <v>752494673.09</v>
      </c>
      <c r="E13" s="108">
        <v>302992018.38</v>
      </c>
      <c r="F13" s="108">
        <v>302335360.57</v>
      </c>
      <c r="G13" s="108">
        <f t="shared" si="2"/>
        <v>449502654.71000004</v>
      </c>
    </row>
    <row r="14" spans="1:7" ht="15">
      <c r="A14" s="21" t="s">
        <v>391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8">
        <f t="shared" si="2"/>
        <v>0</v>
      </c>
    </row>
    <row r="15" spans="1:7" ht="15">
      <c r="A15" s="21" t="s">
        <v>392</v>
      </c>
      <c r="B15" s="108">
        <v>375543907</v>
      </c>
      <c r="C15" s="108">
        <v>41748793.35</v>
      </c>
      <c r="D15" s="108">
        <v>417292700.35</v>
      </c>
      <c r="E15" s="108">
        <v>119590349.47</v>
      </c>
      <c r="F15" s="108">
        <v>119441814.58</v>
      </c>
      <c r="G15" s="108">
        <f t="shared" si="2"/>
        <v>297702350.88</v>
      </c>
    </row>
    <row r="16" spans="1:7" ht="15">
      <c r="A16" s="21" t="s">
        <v>393</v>
      </c>
      <c r="B16" s="108">
        <v>0</v>
      </c>
      <c r="C16" s="108">
        <v>0</v>
      </c>
      <c r="D16" s="108">
        <v>0</v>
      </c>
      <c r="E16" s="108">
        <v>0</v>
      </c>
      <c r="F16" s="108">
        <v>0</v>
      </c>
      <c r="G16" s="108">
        <f t="shared" si="2"/>
        <v>0</v>
      </c>
    </row>
    <row r="17" spans="1:7" ht="15">
      <c r="A17" s="21" t="s">
        <v>394</v>
      </c>
      <c r="B17" s="108">
        <v>786471881</v>
      </c>
      <c r="C17" s="108">
        <v>3173296.25</v>
      </c>
      <c r="D17" s="108">
        <v>789645177.25</v>
      </c>
      <c r="E17" s="108">
        <v>344960908.96</v>
      </c>
      <c r="F17" s="108">
        <v>344910558.38</v>
      </c>
      <c r="G17" s="108">
        <f t="shared" si="2"/>
        <v>444684268.29</v>
      </c>
    </row>
    <row r="18" spans="1:7" ht="15">
      <c r="A18" s="21" t="s">
        <v>395</v>
      </c>
      <c r="B18" s="108">
        <v>313125131</v>
      </c>
      <c r="C18" s="108">
        <v>5908488.11</v>
      </c>
      <c r="D18" s="108">
        <v>319033619.11</v>
      </c>
      <c r="E18" s="108">
        <v>129076579.27</v>
      </c>
      <c r="F18" s="108">
        <v>128503276.27</v>
      </c>
      <c r="G18" s="108">
        <f t="shared" si="2"/>
        <v>189957039.84000003</v>
      </c>
    </row>
    <row r="19" spans="1:7" ht="15">
      <c r="A19" s="20" t="s">
        <v>396</v>
      </c>
      <c r="B19" s="108">
        <f aca="true" t="shared" si="3" ref="B19:G19">SUM(B20:B26)</f>
        <v>3788205382</v>
      </c>
      <c r="C19" s="108">
        <f t="shared" si="3"/>
        <v>1029673652.3800001</v>
      </c>
      <c r="D19" s="108">
        <f t="shared" si="3"/>
        <v>4817879034.38</v>
      </c>
      <c r="E19" s="108">
        <f t="shared" si="3"/>
        <v>1914331540.1699998</v>
      </c>
      <c r="F19" s="108">
        <f t="shared" si="3"/>
        <v>1849856372.6499999</v>
      </c>
      <c r="G19" s="108">
        <f t="shared" si="3"/>
        <v>2903547494.21</v>
      </c>
    </row>
    <row r="20" spans="1:7" ht="15">
      <c r="A20" s="21" t="s">
        <v>397</v>
      </c>
      <c r="B20" s="108">
        <v>58455818</v>
      </c>
      <c r="C20" s="108">
        <v>1102334.21</v>
      </c>
      <c r="D20" s="108">
        <v>59558152.21</v>
      </c>
      <c r="E20" s="108">
        <v>26111010.92</v>
      </c>
      <c r="F20" s="108">
        <v>25620736.42</v>
      </c>
      <c r="G20" s="108">
        <f>D20-E20</f>
        <v>33447141.29</v>
      </c>
    </row>
    <row r="21" spans="1:7" ht="15">
      <c r="A21" s="21" t="s">
        <v>398</v>
      </c>
      <c r="B21" s="108">
        <v>238840709</v>
      </c>
      <c r="C21" s="108">
        <v>750440341.37</v>
      </c>
      <c r="D21" s="108">
        <v>989281050.37</v>
      </c>
      <c r="E21" s="108">
        <v>238881635.17</v>
      </c>
      <c r="F21" s="108">
        <v>237885847.17</v>
      </c>
      <c r="G21" s="108">
        <f aca="true" t="shared" si="4" ref="G21:G26">D21-E21</f>
        <v>750399415.2</v>
      </c>
    </row>
    <row r="22" spans="1:7" ht="15">
      <c r="A22" s="21" t="s">
        <v>399</v>
      </c>
      <c r="B22" s="108">
        <v>647377788</v>
      </c>
      <c r="C22" s="108">
        <v>136105899.21</v>
      </c>
      <c r="D22" s="108">
        <v>783483687.21</v>
      </c>
      <c r="E22" s="108">
        <v>388891493.67</v>
      </c>
      <c r="F22" s="108">
        <v>386647083.61</v>
      </c>
      <c r="G22" s="108">
        <f t="shared" si="4"/>
        <v>394592193.54</v>
      </c>
    </row>
    <row r="23" spans="1:7" ht="15">
      <c r="A23" s="21" t="s">
        <v>400</v>
      </c>
      <c r="B23" s="108">
        <v>343513194</v>
      </c>
      <c r="C23" s="108">
        <v>127874170.46</v>
      </c>
      <c r="D23" s="108">
        <v>471387364.46</v>
      </c>
      <c r="E23" s="108">
        <v>208998770.44</v>
      </c>
      <c r="F23" s="108">
        <v>203945499.56</v>
      </c>
      <c r="G23" s="108">
        <f t="shared" si="4"/>
        <v>262388594.01999998</v>
      </c>
    </row>
    <row r="24" spans="1:7" ht="15">
      <c r="A24" s="21" t="s">
        <v>401</v>
      </c>
      <c r="B24" s="108">
        <v>1943985570</v>
      </c>
      <c r="C24" s="108">
        <v>3360929.93</v>
      </c>
      <c r="D24" s="108">
        <v>1947346499.93</v>
      </c>
      <c r="E24" s="108">
        <v>812589640.88</v>
      </c>
      <c r="F24" s="108">
        <v>780327536.3</v>
      </c>
      <c r="G24" s="108">
        <f t="shared" si="4"/>
        <v>1134756859.0500002</v>
      </c>
    </row>
    <row r="25" spans="1:7" ht="15">
      <c r="A25" s="21" t="s">
        <v>402</v>
      </c>
      <c r="B25" s="108">
        <v>370908318</v>
      </c>
      <c r="C25" s="108">
        <v>0</v>
      </c>
      <c r="D25" s="108">
        <v>370908318</v>
      </c>
      <c r="E25" s="108">
        <v>155176265.8</v>
      </c>
      <c r="F25" s="108">
        <v>152927299.8</v>
      </c>
      <c r="G25" s="108">
        <f t="shared" si="4"/>
        <v>215732052.2</v>
      </c>
    </row>
    <row r="26" spans="1:7" ht="15">
      <c r="A26" s="21" t="s">
        <v>403</v>
      </c>
      <c r="B26" s="108">
        <v>185123985</v>
      </c>
      <c r="C26" s="108">
        <v>10789977.2</v>
      </c>
      <c r="D26" s="108">
        <v>195913962.2</v>
      </c>
      <c r="E26" s="108">
        <v>83682723.29</v>
      </c>
      <c r="F26" s="108">
        <v>62502369.79</v>
      </c>
      <c r="G26" s="108">
        <f t="shared" si="4"/>
        <v>112231238.90999998</v>
      </c>
    </row>
    <row r="27" spans="1:7" ht="15">
      <c r="A27" s="20" t="s">
        <v>404</v>
      </c>
      <c r="B27" s="108">
        <f aca="true" t="shared" si="5" ref="B27:G27">SUM(B28:B36)</f>
        <v>561558537</v>
      </c>
      <c r="C27" s="108">
        <f t="shared" si="5"/>
        <v>226761171.87</v>
      </c>
      <c r="D27" s="108">
        <f t="shared" si="5"/>
        <v>788319708.8699999</v>
      </c>
      <c r="E27" s="108">
        <f t="shared" si="5"/>
        <v>342179142.64000005</v>
      </c>
      <c r="F27" s="108">
        <f t="shared" si="5"/>
        <v>337555445.98</v>
      </c>
      <c r="G27" s="108">
        <f t="shared" si="5"/>
        <v>446140566.22999996</v>
      </c>
    </row>
    <row r="28" spans="1:7" ht="15">
      <c r="A28" s="37" t="s">
        <v>405</v>
      </c>
      <c r="B28" s="108">
        <v>104030396</v>
      </c>
      <c r="C28" s="108">
        <v>20845360.21</v>
      </c>
      <c r="D28" s="108">
        <v>124875756.21</v>
      </c>
      <c r="E28" s="108">
        <v>64295206.56</v>
      </c>
      <c r="F28" s="108">
        <v>61448358.81</v>
      </c>
      <c r="G28" s="108">
        <f>D28-E28</f>
        <v>60580549.64999999</v>
      </c>
    </row>
    <row r="29" spans="1:7" ht="15">
      <c r="A29" s="21" t="s">
        <v>406</v>
      </c>
      <c r="B29" s="108">
        <v>230478441</v>
      </c>
      <c r="C29" s="108">
        <v>39563205.15</v>
      </c>
      <c r="D29" s="108">
        <v>270041646.15</v>
      </c>
      <c r="E29" s="108">
        <v>165643612.38</v>
      </c>
      <c r="F29" s="108">
        <v>165069741.89</v>
      </c>
      <c r="G29" s="108">
        <f aca="true" t="shared" si="6" ref="G29:G36">D29-E29</f>
        <v>104398033.76999998</v>
      </c>
    </row>
    <row r="30" spans="1:7" ht="15">
      <c r="A30" s="21" t="s">
        <v>407</v>
      </c>
      <c r="B30" s="108">
        <v>14471283</v>
      </c>
      <c r="C30" s="108">
        <v>60816862.17</v>
      </c>
      <c r="D30" s="108">
        <v>75288145.17</v>
      </c>
      <c r="E30" s="108">
        <v>5853553.56</v>
      </c>
      <c r="F30" s="108">
        <v>5852091.96</v>
      </c>
      <c r="G30" s="108">
        <f t="shared" si="6"/>
        <v>69434591.61</v>
      </c>
    </row>
    <row r="31" spans="1:7" ht="15">
      <c r="A31" s="21" t="s">
        <v>408</v>
      </c>
      <c r="B31" s="108">
        <v>0</v>
      </c>
      <c r="C31" s="108">
        <v>0</v>
      </c>
      <c r="D31" s="108">
        <v>0</v>
      </c>
      <c r="E31" s="108">
        <v>0</v>
      </c>
      <c r="F31" s="108">
        <v>0</v>
      </c>
      <c r="G31" s="108">
        <f t="shared" si="6"/>
        <v>0</v>
      </c>
    </row>
    <row r="32" spans="1:7" ht="15">
      <c r="A32" s="21" t="s">
        <v>409</v>
      </c>
      <c r="B32" s="108">
        <v>8690150</v>
      </c>
      <c r="C32" s="108">
        <v>3361578.45</v>
      </c>
      <c r="D32" s="108">
        <v>12051728.45</v>
      </c>
      <c r="E32" s="108">
        <v>7004897.64</v>
      </c>
      <c r="F32" s="108">
        <v>7004897.64</v>
      </c>
      <c r="G32" s="108">
        <f t="shared" si="6"/>
        <v>5046830.81</v>
      </c>
    </row>
    <row r="33" spans="1:7" ht="15">
      <c r="A33" s="21" t="s">
        <v>410</v>
      </c>
      <c r="B33" s="108">
        <v>115829857</v>
      </c>
      <c r="C33" s="108">
        <v>96701008.63</v>
      </c>
      <c r="D33" s="108">
        <v>212530865.63</v>
      </c>
      <c r="E33" s="108">
        <v>54700663.13</v>
      </c>
      <c r="F33" s="108">
        <v>54700663.13</v>
      </c>
      <c r="G33" s="108">
        <f t="shared" si="6"/>
        <v>157830202.5</v>
      </c>
    </row>
    <row r="34" spans="1:7" ht="15">
      <c r="A34" s="21" t="s">
        <v>411</v>
      </c>
      <c r="B34" s="108">
        <v>71454954</v>
      </c>
      <c r="C34" s="108">
        <v>5498838.37</v>
      </c>
      <c r="D34" s="108">
        <v>76953792.37</v>
      </c>
      <c r="E34" s="108">
        <v>36764248.59</v>
      </c>
      <c r="F34" s="108">
        <v>35563731.77</v>
      </c>
      <c r="G34" s="108">
        <f t="shared" si="6"/>
        <v>40189543.78</v>
      </c>
    </row>
    <row r="35" spans="1:7" ht="15">
      <c r="A35" s="21" t="s">
        <v>412</v>
      </c>
      <c r="B35" s="108">
        <v>1720150</v>
      </c>
      <c r="C35" s="108">
        <v>-25681.11</v>
      </c>
      <c r="D35" s="108">
        <v>1694468.89</v>
      </c>
      <c r="E35" s="108">
        <v>762933.18</v>
      </c>
      <c r="F35" s="108">
        <v>762933.18</v>
      </c>
      <c r="G35" s="108">
        <f t="shared" si="6"/>
        <v>931535.7099999998</v>
      </c>
    </row>
    <row r="36" spans="1:7" ht="15">
      <c r="A36" s="21" t="s">
        <v>413</v>
      </c>
      <c r="B36" s="108">
        <v>14883306</v>
      </c>
      <c r="C36" s="108">
        <v>0</v>
      </c>
      <c r="D36" s="108">
        <v>14883306</v>
      </c>
      <c r="E36" s="108">
        <v>7154027.6</v>
      </c>
      <c r="F36" s="108">
        <v>7153027.6</v>
      </c>
      <c r="G36" s="108">
        <f t="shared" si="6"/>
        <v>7729278.4</v>
      </c>
    </row>
    <row r="37" spans="1:7" ht="30">
      <c r="A37" s="33" t="s">
        <v>414</v>
      </c>
      <c r="B37" s="108">
        <f aca="true" t="shared" si="7" ref="B37:G37">SUM(B38:B41)</f>
        <v>3135220044</v>
      </c>
      <c r="C37" s="108">
        <f t="shared" si="7"/>
        <v>1961582.7599999998</v>
      </c>
      <c r="D37" s="108">
        <f t="shared" si="7"/>
        <v>3137181626.7599998</v>
      </c>
      <c r="E37" s="108">
        <f t="shared" si="7"/>
        <v>1550931557.71</v>
      </c>
      <c r="F37" s="108">
        <f t="shared" si="7"/>
        <v>1550931557.71</v>
      </c>
      <c r="G37" s="108">
        <f t="shared" si="7"/>
        <v>1586250069.0499997</v>
      </c>
    </row>
    <row r="38" spans="1:7" ht="15">
      <c r="A38" s="37" t="s">
        <v>415</v>
      </c>
      <c r="B38" s="108">
        <v>306407168</v>
      </c>
      <c r="C38" s="108">
        <v>3641391.31</v>
      </c>
      <c r="D38" s="108">
        <v>310048559.31</v>
      </c>
      <c r="E38" s="108">
        <v>125907271.71</v>
      </c>
      <c r="F38" s="108">
        <v>125907271.71</v>
      </c>
      <c r="G38" s="108">
        <f>D38-E38</f>
        <v>184141287.60000002</v>
      </c>
    </row>
    <row r="39" spans="1:7" ht="30">
      <c r="A39" s="37" t="s">
        <v>416</v>
      </c>
      <c r="B39" s="108">
        <v>2782282984</v>
      </c>
      <c r="C39" s="108">
        <v>10043156.12</v>
      </c>
      <c r="D39" s="108">
        <v>2792326140.12</v>
      </c>
      <c r="E39" s="108">
        <v>1425024286</v>
      </c>
      <c r="F39" s="108">
        <v>1425024286</v>
      </c>
      <c r="G39" s="108">
        <f>D39-E39</f>
        <v>1367301854.12</v>
      </c>
    </row>
    <row r="40" spans="1:7" ht="15">
      <c r="A40" s="37" t="s">
        <v>417</v>
      </c>
      <c r="B40" s="108">
        <v>0</v>
      </c>
      <c r="C40" s="108">
        <v>0</v>
      </c>
      <c r="D40" s="108">
        <v>0</v>
      </c>
      <c r="E40" s="108">
        <v>0</v>
      </c>
      <c r="F40" s="108">
        <v>0</v>
      </c>
      <c r="G40" s="108">
        <f>D40-E40</f>
        <v>0</v>
      </c>
    </row>
    <row r="41" spans="1:7" ht="15">
      <c r="A41" s="37" t="s">
        <v>418</v>
      </c>
      <c r="B41" s="108">
        <v>46529892</v>
      </c>
      <c r="C41" s="108">
        <v>-11722964.67</v>
      </c>
      <c r="D41" s="108">
        <v>34806927.33</v>
      </c>
      <c r="E41" s="108">
        <v>0</v>
      </c>
      <c r="F41" s="108">
        <v>0</v>
      </c>
      <c r="G41" s="108">
        <f>D41-E41</f>
        <v>34806927.33</v>
      </c>
    </row>
    <row r="42" spans="1:7" ht="15">
      <c r="A42" s="37"/>
      <c r="B42" s="108"/>
      <c r="C42" s="108"/>
      <c r="D42" s="108"/>
      <c r="E42" s="108"/>
      <c r="F42" s="108"/>
      <c r="G42" s="108"/>
    </row>
    <row r="43" spans="1:7" ht="15">
      <c r="A43" s="23" t="s">
        <v>419</v>
      </c>
      <c r="B43" s="109">
        <f aca="true" t="shared" si="8" ref="B43:G43">SUM(B44,B53,B61,B71)</f>
        <v>11110212505</v>
      </c>
      <c r="C43" s="109">
        <f t="shared" si="8"/>
        <v>973750922.8700001</v>
      </c>
      <c r="D43" s="109">
        <f t="shared" si="8"/>
        <v>12083963427.87</v>
      </c>
      <c r="E43" s="109">
        <f t="shared" si="8"/>
        <v>5484401300.710001</v>
      </c>
      <c r="F43" s="109">
        <f t="shared" si="8"/>
        <v>5484401300.710001</v>
      </c>
      <c r="G43" s="109">
        <f t="shared" si="8"/>
        <v>6599562127.16</v>
      </c>
    </row>
    <row r="44" spans="1:7" ht="15">
      <c r="A44" s="20" t="s">
        <v>420</v>
      </c>
      <c r="B44" s="108">
        <f aca="true" t="shared" si="9" ref="B44:G44">SUM(B45:B52)</f>
        <v>211615258</v>
      </c>
      <c r="C44" s="108">
        <f t="shared" si="9"/>
        <v>101282766.06</v>
      </c>
      <c r="D44" s="108">
        <f t="shared" si="9"/>
        <v>312898024.06</v>
      </c>
      <c r="E44" s="108">
        <f t="shared" si="9"/>
        <v>81230382.55</v>
      </c>
      <c r="F44" s="108">
        <f t="shared" si="9"/>
        <v>81230382.55</v>
      </c>
      <c r="G44" s="108">
        <f t="shared" si="9"/>
        <v>231667641.51</v>
      </c>
    </row>
    <row r="45" spans="1:7" ht="15">
      <c r="A45" s="37" t="s">
        <v>388</v>
      </c>
      <c r="B45" s="108">
        <v>0</v>
      </c>
      <c r="C45" s="108">
        <v>1187578.11</v>
      </c>
      <c r="D45" s="108">
        <v>1187578.11</v>
      </c>
      <c r="E45" s="108">
        <v>1187578.11</v>
      </c>
      <c r="F45" s="108">
        <v>1187578.11</v>
      </c>
      <c r="G45" s="108">
        <f>D45-E45</f>
        <v>0</v>
      </c>
    </row>
    <row r="46" spans="1:7" ht="15">
      <c r="A46" s="37" t="s">
        <v>389</v>
      </c>
      <c r="B46" s="108">
        <v>32009400</v>
      </c>
      <c r="C46" s="108">
        <v>70894655.44</v>
      </c>
      <c r="D46" s="108">
        <v>102904055.44</v>
      </c>
      <c r="E46" s="108">
        <v>41970075.5</v>
      </c>
      <c r="F46" s="108">
        <v>41970075.5</v>
      </c>
      <c r="G46" s="108">
        <f aca="true" t="shared" si="10" ref="G46:G52">D46-E46</f>
        <v>60933979.94</v>
      </c>
    </row>
    <row r="47" spans="1:7" ht="15">
      <c r="A47" s="37" t="s">
        <v>390</v>
      </c>
      <c r="B47" s="108">
        <v>0</v>
      </c>
      <c r="C47" s="108">
        <v>0</v>
      </c>
      <c r="D47" s="108">
        <v>0</v>
      </c>
      <c r="E47" s="108">
        <v>0</v>
      </c>
      <c r="F47" s="108">
        <v>0</v>
      </c>
      <c r="G47" s="108">
        <f t="shared" si="10"/>
        <v>0</v>
      </c>
    </row>
    <row r="48" spans="1:7" ht="15">
      <c r="A48" s="37" t="s">
        <v>391</v>
      </c>
      <c r="B48" s="108">
        <v>0</v>
      </c>
      <c r="C48" s="108">
        <v>0</v>
      </c>
      <c r="D48" s="108">
        <v>0</v>
      </c>
      <c r="E48" s="108">
        <v>0</v>
      </c>
      <c r="F48" s="108">
        <v>0</v>
      </c>
      <c r="G48" s="108">
        <f t="shared" si="10"/>
        <v>0</v>
      </c>
    </row>
    <row r="49" spans="1:7" ht="15">
      <c r="A49" s="37" t="s">
        <v>392</v>
      </c>
      <c r="B49" s="108">
        <v>20000000</v>
      </c>
      <c r="C49" s="108">
        <v>0</v>
      </c>
      <c r="D49" s="108">
        <v>20000000</v>
      </c>
      <c r="E49" s="108">
        <v>0</v>
      </c>
      <c r="F49" s="108">
        <v>0</v>
      </c>
      <c r="G49" s="108">
        <f t="shared" si="10"/>
        <v>20000000</v>
      </c>
    </row>
    <row r="50" spans="1:7" ht="15">
      <c r="A50" s="37" t="s">
        <v>393</v>
      </c>
      <c r="B50" s="108">
        <v>0</v>
      </c>
      <c r="C50" s="108">
        <v>0</v>
      </c>
      <c r="D50" s="108">
        <v>0</v>
      </c>
      <c r="E50" s="108">
        <v>0</v>
      </c>
      <c r="F50" s="108">
        <v>0</v>
      </c>
      <c r="G50" s="108">
        <f t="shared" si="10"/>
        <v>0</v>
      </c>
    </row>
    <row r="51" spans="1:7" ht="15">
      <c r="A51" s="37" t="s">
        <v>394</v>
      </c>
      <c r="B51" s="108">
        <v>139649096</v>
      </c>
      <c r="C51" s="108">
        <v>29200532.51</v>
      </c>
      <c r="D51" s="108">
        <v>168849628.51</v>
      </c>
      <c r="E51" s="108">
        <v>38072728.94</v>
      </c>
      <c r="F51" s="108">
        <v>38072728.94</v>
      </c>
      <c r="G51" s="108">
        <f t="shared" si="10"/>
        <v>130776899.57</v>
      </c>
    </row>
    <row r="52" spans="1:7" ht="15">
      <c r="A52" s="37" t="s">
        <v>395</v>
      </c>
      <c r="B52" s="108">
        <v>19956762</v>
      </c>
      <c r="C52" s="108">
        <v>0</v>
      </c>
      <c r="D52" s="108">
        <v>19956762</v>
      </c>
      <c r="E52" s="108">
        <v>0</v>
      </c>
      <c r="F52" s="108">
        <v>0</v>
      </c>
      <c r="G52" s="108">
        <f t="shared" si="10"/>
        <v>19956762</v>
      </c>
    </row>
    <row r="53" spans="1:7" ht="15">
      <c r="A53" s="20" t="s">
        <v>396</v>
      </c>
      <c r="B53" s="108">
        <f aca="true" t="shared" si="11" ref="B53:G53">SUM(B54:B60)</f>
        <v>9307627910</v>
      </c>
      <c r="C53" s="108">
        <f t="shared" si="11"/>
        <v>495152264.6</v>
      </c>
      <c r="D53" s="108">
        <f t="shared" si="11"/>
        <v>9802780174.6</v>
      </c>
      <c r="E53" s="108">
        <f t="shared" si="11"/>
        <v>4191707078.8700004</v>
      </c>
      <c r="F53" s="108">
        <f t="shared" si="11"/>
        <v>4191707078.8700004</v>
      </c>
      <c r="G53" s="108">
        <f t="shared" si="11"/>
        <v>5611073095.73</v>
      </c>
    </row>
    <row r="54" spans="1:7" ht="15">
      <c r="A54" s="37" t="s">
        <v>397</v>
      </c>
      <c r="B54" s="108">
        <v>81422830</v>
      </c>
      <c r="C54" s="108">
        <v>30600000</v>
      </c>
      <c r="D54" s="108">
        <v>112022830</v>
      </c>
      <c r="E54" s="108">
        <v>11823933.15</v>
      </c>
      <c r="F54" s="108">
        <v>11823933.15</v>
      </c>
      <c r="G54" s="108">
        <f>D54-E54</f>
        <v>100198896.85</v>
      </c>
    </row>
    <row r="55" spans="1:7" ht="15">
      <c r="A55" s="37" t="s">
        <v>398</v>
      </c>
      <c r="B55" s="108">
        <v>517368010</v>
      </c>
      <c r="C55" s="108">
        <v>-28191986.08</v>
      </c>
      <c r="D55" s="108">
        <v>489176023.92</v>
      </c>
      <c r="E55" s="108">
        <v>105628318.32</v>
      </c>
      <c r="F55" s="108">
        <v>105628318.32</v>
      </c>
      <c r="G55" s="108">
        <f aca="true" t="shared" si="12" ref="G55:G60">D55-E55</f>
        <v>383547705.6</v>
      </c>
    </row>
    <row r="56" spans="1:7" ht="15">
      <c r="A56" s="37" t="s">
        <v>399</v>
      </c>
      <c r="B56" s="108">
        <v>1703669006</v>
      </c>
      <c r="C56" s="108">
        <v>279078022.81</v>
      </c>
      <c r="D56" s="108">
        <v>1982747028.81</v>
      </c>
      <c r="E56" s="108">
        <v>1067693648.44</v>
      </c>
      <c r="F56" s="108">
        <v>1067693648.44</v>
      </c>
      <c r="G56" s="108">
        <f t="shared" si="12"/>
        <v>915053380.3699999</v>
      </c>
    </row>
    <row r="57" spans="1:7" ht="15">
      <c r="A57" s="38" t="s">
        <v>400</v>
      </c>
      <c r="B57" s="108">
        <v>120000000</v>
      </c>
      <c r="C57" s="108">
        <v>-6051058.19</v>
      </c>
      <c r="D57" s="108">
        <v>113948941.81</v>
      </c>
      <c r="E57" s="108">
        <v>24205294.86</v>
      </c>
      <c r="F57" s="108">
        <v>24205294.86</v>
      </c>
      <c r="G57" s="108">
        <f t="shared" si="12"/>
        <v>89743646.95</v>
      </c>
    </row>
    <row r="58" spans="1:7" ht="15">
      <c r="A58" s="37" t="s">
        <v>401</v>
      </c>
      <c r="B58" s="108">
        <v>6385055702</v>
      </c>
      <c r="C58" s="108">
        <v>191219323.87</v>
      </c>
      <c r="D58" s="108">
        <v>6576275025.87</v>
      </c>
      <c r="E58" s="108">
        <v>2896824289.84</v>
      </c>
      <c r="F58" s="108">
        <v>2896824289.84</v>
      </c>
      <c r="G58" s="108">
        <f t="shared" si="12"/>
        <v>3679450736.0299997</v>
      </c>
    </row>
    <row r="59" spans="1:7" ht="15">
      <c r="A59" s="37" t="s">
        <v>402</v>
      </c>
      <c r="B59" s="108">
        <v>470570123</v>
      </c>
      <c r="C59" s="108">
        <v>28497962.19</v>
      </c>
      <c r="D59" s="108">
        <v>499068085.19</v>
      </c>
      <c r="E59" s="108">
        <v>85531594.26</v>
      </c>
      <c r="F59" s="108">
        <v>85531594.26</v>
      </c>
      <c r="G59" s="108">
        <f t="shared" si="12"/>
        <v>413536490.93</v>
      </c>
    </row>
    <row r="60" spans="1:7" ht="15">
      <c r="A60" s="37" t="s">
        <v>403</v>
      </c>
      <c r="B60" s="108">
        <v>29542239</v>
      </c>
      <c r="C60" s="108">
        <v>0</v>
      </c>
      <c r="D60" s="108">
        <v>29542239</v>
      </c>
      <c r="E60" s="108">
        <v>0</v>
      </c>
      <c r="F60" s="108">
        <v>0</v>
      </c>
      <c r="G60" s="108">
        <f t="shared" si="12"/>
        <v>29542239</v>
      </c>
    </row>
    <row r="61" spans="1:7" ht="15">
      <c r="A61" s="20" t="s">
        <v>404</v>
      </c>
      <c r="B61" s="108">
        <f aca="true" t="shared" si="13" ref="B61:G61">SUM(B62:B70)</f>
        <v>21829439</v>
      </c>
      <c r="C61" s="108">
        <f t="shared" si="13"/>
        <v>379061286.94</v>
      </c>
      <c r="D61" s="108">
        <f t="shared" si="13"/>
        <v>400890725.94</v>
      </c>
      <c r="E61" s="108">
        <f t="shared" si="13"/>
        <v>355052812.02000004</v>
      </c>
      <c r="F61" s="108">
        <f t="shared" si="13"/>
        <v>355052812.02000004</v>
      </c>
      <c r="G61" s="108">
        <f t="shared" si="13"/>
        <v>45837913.919999994</v>
      </c>
    </row>
    <row r="62" spans="1:7" ht="15">
      <c r="A62" s="37" t="s">
        <v>405</v>
      </c>
      <c r="B62" s="108">
        <v>0</v>
      </c>
      <c r="C62" s="108">
        <v>0</v>
      </c>
      <c r="D62" s="108">
        <v>0</v>
      </c>
      <c r="E62" s="108">
        <v>0</v>
      </c>
      <c r="F62" s="108">
        <v>0</v>
      </c>
      <c r="G62" s="108">
        <f>D62-E62</f>
        <v>0</v>
      </c>
    </row>
    <row r="63" spans="1:7" ht="15">
      <c r="A63" s="37" t="s">
        <v>406</v>
      </c>
      <c r="B63" s="108">
        <v>21829439</v>
      </c>
      <c r="C63" s="108">
        <v>27168603.9</v>
      </c>
      <c r="D63" s="108">
        <v>48998042.9</v>
      </c>
      <c r="E63" s="108">
        <v>17210628.92</v>
      </c>
      <c r="F63" s="108">
        <v>17210628.92</v>
      </c>
      <c r="G63" s="108">
        <f aca="true" t="shared" si="14" ref="G63:G70">D63-E63</f>
        <v>31787413.979999997</v>
      </c>
    </row>
    <row r="64" spans="1:7" ht="15">
      <c r="A64" s="37" t="s">
        <v>407</v>
      </c>
      <c r="B64" s="108">
        <v>0</v>
      </c>
      <c r="C64" s="108">
        <v>0</v>
      </c>
      <c r="D64" s="108">
        <v>0</v>
      </c>
      <c r="E64" s="108">
        <v>0</v>
      </c>
      <c r="F64" s="108">
        <v>0</v>
      </c>
      <c r="G64" s="108">
        <f t="shared" si="14"/>
        <v>0</v>
      </c>
    </row>
    <row r="65" spans="1:7" ht="15">
      <c r="A65" s="37" t="s">
        <v>408</v>
      </c>
      <c r="B65" s="108">
        <v>0</v>
      </c>
      <c r="C65" s="108">
        <v>0</v>
      </c>
      <c r="D65" s="108">
        <v>0</v>
      </c>
      <c r="E65" s="108">
        <v>0</v>
      </c>
      <c r="F65" s="108">
        <v>0</v>
      </c>
      <c r="G65" s="108">
        <f t="shared" si="14"/>
        <v>0</v>
      </c>
    </row>
    <row r="66" spans="1:7" ht="15">
      <c r="A66" s="37" t="s">
        <v>409</v>
      </c>
      <c r="B66" s="108">
        <v>0</v>
      </c>
      <c r="C66" s="108">
        <v>0</v>
      </c>
      <c r="D66" s="108">
        <v>0</v>
      </c>
      <c r="E66" s="108">
        <v>0</v>
      </c>
      <c r="F66" s="108">
        <v>0</v>
      </c>
      <c r="G66" s="108">
        <f t="shared" si="14"/>
        <v>0</v>
      </c>
    </row>
    <row r="67" spans="1:7" ht="15">
      <c r="A67" s="37" t="s">
        <v>410</v>
      </c>
      <c r="B67" s="108">
        <v>0</v>
      </c>
      <c r="C67" s="108">
        <v>349537623.04</v>
      </c>
      <c r="D67" s="108">
        <v>349537623.04</v>
      </c>
      <c r="E67" s="108">
        <v>337842183.1</v>
      </c>
      <c r="F67" s="108">
        <v>337842183.1</v>
      </c>
      <c r="G67" s="108">
        <f t="shared" si="14"/>
        <v>11695439.939999998</v>
      </c>
    </row>
    <row r="68" spans="1:7" ht="15">
      <c r="A68" s="37" t="s">
        <v>411</v>
      </c>
      <c r="B68" s="108">
        <v>0</v>
      </c>
      <c r="C68" s="108">
        <v>2355060</v>
      </c>
      <c r="D68" s="108">
        <v>2355060</v>
      </c>
      <c r="E68" s="108">
        <v>0</v>
      </c>
      <c r="F68" s="108">
        <v>0</v>
      </c>
      <c r="G68" s="108">
        <f t="shared" si="14"/>
        <v>2355060</v>
      </c>
    </row>
    <row r="69" spans="1:7" ht="15">
      <c r="A69" s="37" t="s">
        <v>412</v>
      </c>
      <c r="B69" s="108">
        <v>0</v>
      </c>
      <c r="C69" s="108">
        <v>0</v>
      </c>
      <c r="D69" s="108">
        <v>0</v>
      </c>
      <c r="E69" s="108">
        <v>0</v>
      </c>
      <c r="F69" s="108">
        <v>0</v>
      </c>
      <c r="G69" s="108">
        <f t="shared" si="14"/>
        <v>0</v>
      </c>
    </row>
    <row r="70" spans="1:7" ht="15">
      <c r="A70" s="37" t="s">
        <v>413</v>
      </c>
      <c r="B70" s="108">
        <v>0</v>
      </c>
      <c r="C70" s="108">
        <v>0</v>
      </c>
      <c r="D70" s="108">
        <v>0</v>
      </c>
      <c r="E70" s="108">
        <v>0</v>
      </c>
      <c r="F70" s="108">
        <v>0</v>
      </c>
      <c r="G70" s="108">
        <f t="shared" si="14"/>
        <v>0</v>
      </c>
    </row>
    <row r="71" spans="1:7" ht="15">
      <c r="A71" s="33" t="s">
        <v>421</v>
      </c>
      <c r="B71" s="110">
        <f aca="true" t="shared" si="15" ref="B71:G71">SUM(B72:B75)</f>
        <v>1569139898</v>
      </c>
      <c r="C71" s="110">
        <f t="shared" si="15"/>
        <v>-1745394.73</v>
      </c>
      <c r="D71" s="110">
        <f t="shared" si="15"/>
        <v>1567394503.27</v>
      </c>
      <c r="E71" s="110">
        <f t="shared" si="15"/>
        <v>856411027.27</v>
      </c>
      <c r="F71" s="110">
        <f t="shared" si="15"/>
        <v>856411027.27</v>
      </c>
      <c r="G71" s="110">
        <f t="shared" si="15"/>
        <v>710983476</v>
      </c>
    </row>
    <row r="72" spans="1:7" ht="15">
      <c r="A72" s="37" t="s">
        <v>415</v>
      </c>
      <c r="B72" s="108">
        <v>0</v>
      </c>
      <c r="C72" s="108">
        <v>0</v>
      </c>
      <c r="D72" s="108">
        <v>0</v>
      </c>
      <c r="E72" s="108">
        <v>0</v>
      </c>
      <c r="F72" s="108">
        <v>0</v>
      </c>
      <c r="G72" s="108">
        <f>D72-E72</f>
        <v>0</v>
      </c>
    </row>
    <row r="73" spans="1:7" ht="30">
      <c r="A73" s="37" t="s">
        <v>416</v>
      </c>
      <c r="B73" s="108">
        <v>1569139898</v>
      </c>
      <c r="C73" s="108">
        <v>-1745394.73</v>
      </c>
      <c r="D73" s="108">
        <v>1567394503.27</v>
      </c>
      <c r="E73" s="108">
        <v>856411027.27</v>
      </c>
      <c r="F73" s="108">
        <v>856411027.27</v>
      </c>
      <c r="G73" s="108">
        <f>D73-E73</f>
        <v>710983476</v>
      </c>
    </row>
    <row r="74" spans="1:7" ht="15">
      <c r="A74" s="37" t="s">
        <v>417</v>
      </c>
      <c r="B74" s="108">
        <v>0</v>
      </c>
      <c r="C74" s="108">
        <v>0</v>
      </c>
      <c r="D74" s="108">
        <v>0</v>
      </c>
      <c r="E74" s="108">
        <v>0</v>
      </c>
      <c r="F74" s="108">
        <v>0</v>
      </c>
      <c r="G74" s="108">
        <f>D74-E74</f>
        <v>0</v>
      </c>
    </row>
    <row r="75" spans="1:7" ht="15">
      <c r="A75" s="37" t="s">
        <v>418</v>
      </c>
      <c r="B75" s="108">
        <v>0</v>
      </c>
      <c r="C75" s="108">
        <v>0</v>
      </c>
      <c r="D75" s="108">
        <v>0</v>
      </c>
      <c r="E75" s="108">
        <v>0</v>
      </c>
      <c r="F75" s="108">
        <v>0</v>
      </c>
      <c r="G75" s="108">
        <f>D75-E75</f>
        <v>0</v>
      </c>
    </row>
    <row r="76" spans="1:7" ht="15">
      <c r="A76" s="34"/>
      <c r="B76" s="111"/>
      <c r="C76" s="111"/>
      <c r="D76" s="111"/>
      <c r="E76" s="111"/>
      <c r="F76" s="111"/>
      <c r="G76" s="111"/>
    </row>
    <row r="77" spans="1:7" ht="15">
      <c r="A77" s="23" t="s">
        <v>376</v>
      </c>
      <c r="B77" s="109">
        <f aca="true" t="shared" si="16" ref="B77:G77">B43+B9</f>
        <v>21982741867</v>
      </c>
      <c r="C77" s="109">
        <f t="shared" si="16"/>
        <v>2320602738.9500003</v>
      </c>
      <c r="D77" s="109">
        <f t="shared" si="16"/>
        <v>24303344605.95</v>
      </c>
      <c r="E77" s="109">
        <f t="shared" si="16"/>
        <v>10753760749.720001</v>
      </c>
      <c r="F77" s="109">
        <f t="shared" si="16"/>
        <v>10681755101.37</v>
      </c>
      <c r="G77" s="109">
        <f t="shared" si="16"/>
        <v>13549583856.23</v>
      </c>
    </row>
    <row r="78" spans="1:7" ht="15">
      <c r="A78" s="35"/>
      <c r="B78" s="122"/>
      <c r="C78" s="122"/>
      <c r="D78" s="122"/>
      <c r="E78" s="122"/>
      <c r="F78" s="122"/>
      <c r="G78" s="123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portrait" scale="48" r:id="rId1"/>
  <ignoredErrors>
    <ignoredError sqref="B77:G77 B71:F71 G72:G75 G62:G70 B61:F61 B53:F53 G60 G44:G52 B44:F44 B43:IV43 G38:G41 B37:F37 G28:G36 B27:F27 B19:F19 G10:G18 B10:F10 B9:IV9" unlockedFormula="1"/>
    <ignoredError sqref="G71 G61 G53:G59 G37 G26:G27 G19:G25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A12" sqref="A12"/>
    </sheetView>
  </sheetViews>
  <sheetFormatPr defaultColWidth="0" defaultRowHeight="15" zeroHeight="1"/>
  <cols>
    <col min="1" max="1" width="111.8515625" style="0" customWidth="1"/>
    <col min="2" max="6" width="20.7109375" style="0" customWidth="1"/>
    <col min="7" max="7" width="17.57421875" style="0" customWidth="1"/>
    <col min="8" max="8" width="0" style="0" hidden="1" customWidth="1"/>
    <col min="9" max="16384" width="11.421875" style="0" hidden="1" customWidth="1"/>
  </cols>
  <sheetData>
    <row r="1" spans="1:7" ht="21">
      <c r="A1" s="148" t="s">
        <v>422</v>
      </c>
      <c r="B1" s="145"/>
      <c r="C1" s="145"/>
      <c r="D1" s="145"/>
      <c r="E1" s="145"/>
      <c r="F1" s="145"/>
      <c r="G1" s="145"/>
    </row>
    <row r="2" spans="1:7" ht="15">
      <c r="A2" s="126" t="s">
        <v>291</v>
      </c>
      <c r="B2" s="127"/>
      <c r="C2" s="127"/>
      <c r="D2" s="127"/>
      <c r="E2" s="127"/>
      <c r="F2" s="127"/>
      <c r="G2" s="128"/>
    </row>
    <row r="3" spans="1:7" ht="15">
      <c r="A3" s="132" t="s">
        <v>293</v>
      </c>
      <c r="B3" s="133"/>
      <c r="C3" s="133"/>
      <c r="D3" s="133"/>
      <c r="E3" s="133"/>
      <c r="F3" s="133"/>
      <c r="G3" s="134"/>
    </row>
    <row r="4" spans="1:7" ht="15">
      <c r="A4" s="132" t="s">
        <v>423</v>
      </c>
      <c r="B4" s="133"/>
      <c r="C4" s="133"/>
      <c r="D4" s="133"/>
      <c r="E4" s="133"/>
      <c r="F4" s="133"/>
      <c r="G4" s="134"/>
    </row>
    <row r="5" spans="1:7" ht="15">
      <c r="A5" s="132" t="s">
        <v>484</v>
      </c>
      <c r="B5" s="133"/>
      <c r="C5" s="133"/>
      <c r="D5" s="133"/>
      <c r="E5" s="133"/>
      <c r="F5" s="133"/>
      <c r="G5" s="134"/>
    </row>
    <row r="6" spans="1:7" ht="15">
      <c r="A6" s="135" t="s">
        <v>2</v>
      </c>
      <c r="B6" s="136"/>
      <c r="C6" s="136"/>
      <c r="D6" s="136"/>
      <c r="E6" s="136"/>
      <c r="F6" s="136"/>
      <c r="G6" s="137"/>
    </row>
    <row r="7" spans="1:7" ht="15">
      <c r="A7" s="142" t="s">
        <v>424</v>
      </c>
      <c r="B7" s="146" t="s">
        <v>295</v>
      </c>
      <c r="C7" s="146"/>
      <c r="D7" s="146"/>
      <c r="E7" s="146"/>
      <c r="F7" s="146"/>
      <c r="G7" s="146" t="s">
        <v>296</v>
      </c>
    </row>
    <row r="8" spans="1:7" ht="30">
      <c r="A8" s="143"/>
      <c r="B8" s="6" t="s">
        <v>297</v>
      </c>
      <c r="C8" s="31" t="s">
        <v>385</v>
      </c>
      <c r="D8" s="31" t="s">
        <v>227</v>
      </c>
      <c r="E8" s="31" t="s">
        <v>182</v>
      </c>
      <c r="F8" s="31" t="s">
        <v>199</v>
      </c>
      <c r="G8" s="153"/>
    </row>
    <row r="9" spans="1:7" ht="15">
      <c r="A9" s="19" t="s">
        <v>425</v>
      </c>
      <c r="B9" s="112">
        <f aca="true" t="shared" si="0" ref="B9:G9">SUM(B10,B11,B12,B15,B16,B19)</f>
        <v>2791784527</v>
      </c>
      <c r="C9" s="112">
        <f t="shared" si="0"/>
        <v>48947.900000045076</v>
      </c>
      <c r="D9" s="112">
        <f t="shared" si="0"/>
        <v>2792150618.8999996</v>
      </c>
      <c r="E9" s="112">
        <f t="shared" si="0"/>
        <v>1193312958.4099984</v>
      </c>
      <c r="F9" s="112">
        <f t="shared" si="0"/>
        <v>1193312958.410008</v>
      </c>
      <c r="G9" s="112">
        <f t="shared" si="0"/>
        <v>1598837660.4900014</v>
      </c>
    </row>
    <row r="10" spans="1:7" ht="15">
      <c r="A10" s="20" t="s">
        <v>426</v>
      </c>
      <c r="B10" s="113">
        <v>1796917262</v>
      </c>
      <c r="C10" s="113">
        <v>4183515.6300000567</v>
      </c>
      <c r="D10" s="113">
        <v>1801417921.63</v>
      </c>
      <c r="E10" s="113">
        <v>752813660.6299977</v>
      </c>
      <c r="F10" s="113">
        <v>752813660.6300062</v>
      </c>
      <c r="G10" s="113">
        <f>D10-E10</f>
        <v>1048604261.0000024</v>
      </c>
    </row>
    <row r="11" spans="1:7" ht="15">
      <c r="A11" s="20" t="s">
        <v>427</v>
      </c>
      <c r="B11" s="113">
        <v>103606662</v>
      </c>
      <c r="C11" s="113">
        <v>-209170.17999999988</v>
      </c>
      <c r="D11" s="113">
        <v>103397491.81999993</v>
      </c>
      <c r="E11" s="113">
        <v>45838482.52999994</v>
      </c>
      <c r="F11" s="113">
        <v>45838482.52999984</v>
      </c>
      <c r="G11" s="113">
        <f>D11-E11</f>
        <v>57559009.28999999</v>
      </c>
    </row>
    <row r="12" spans="1:7" ht="15">
      <c r="A12" s="20" t="s">
        <v>428</v>
      </c>
      <c r="B12" s="113">
        <f aca="true" t="shared" si="1" ref="B12:G12">B13+B14</f>
        <v>271665289</v>
      </c>
      <c r="C12" s="113">
        <f t="shared" si="1"/>
        <v>4429420.839999991</v>
      </c>
      <c r="D12" s="113">
        <f t="shared" si="1"/>
        <v>276094709.84000015</v>
      </c>
      <c r="E12" s="113">
        <f t="shared" si="1"/>
        <v>123727087.8099999</v>
      </c>
      <c r="F12" s="113">
        <f t="shared" si="1"/>
        <v>123727087.81</v>
      </c>
      <c r="G12" s="113">
        <f t="shared" si="1"/>
        <v>152367622.03000024</v>
      </c>
    </row>
    <row r="13" spans="1:7" ht="15">
      <c r="A13" s="21" t="s">
        <v>429</v>
      </c>
      <c r="B13" s="113">
        <v>52758667</v>
      </c>
      <c r="C13" s="113">
        <v>3103105.49</v>
      </c>
      <c r="D13" s="113">
        <v>55861772.49</v>
      </c>
      <c r="E13" s="113">
        <v>23260598.02</v>
      </c>
      <c r="F13" s="113">
        <v>23260598.020000033</v>
      </c>
      <c r="G13" s="113">
        <f>D13-E13</f>
        <v>32601174.470000003</v>
      </c>
    </row>
    <row r="14" spans="1:7" ht="15">
      <c r="A14" s="21" t="s">
        <v>430</v>
      </c>
      <c r="B14" s="113">
        <v>218906622</v>
      </c>
      <c r="C14" s="113">
        <v>1326315.3499999898</v>
      </c>
      <c r="D14" s="113">
        <v>220232937.35000014</v>
      </c>
      <c r="E14" s="113">
        <v>100466489.7899999</v>
      </c>
      <c r="F14" s="113">
        <v>100466489.78999996</v>
      </c>
      <c r="G14" s="113">
        <f>D14-E14</f>
        <v>119766447.56000024</v>
      </c>
    </row>
    <row r="15" spans="1:7" ht="15">
      <c r="A15" s="20" t="s">
        <v>431</v>
      </c>
      <c r="B15" s="113">
        <v>619595314</v>
      </c>
      <c r="C15" s="113">
        <v>-8354818.390000002</v>
      </c>
      <c r="D15" s="113">
        <v>611240495.6099997</v>
      </c>
      <c r="E15" s="113">
        <v>270933727.4400008</v>
      </c>
      <c r="F15" s="113">
        <v>270933727.440002</v>
      </c>
      <c r="G15" s="113">
        <f>D15-E15</f>
        <v>340306768.1699989</v>
      </c>
    </row>
    <row r="16" spans="1:7" ht="15">
      <c r="A16" s="33" t="s">
        <v>432</v>
      </c>
      <c r="B16" s="113">
        <f aca="true" t="shared" si="2" ref="B16:G16">B17+B18</f>
        <v>0</v>
      </c>
      <c r="C16" s="113">
        <f t="shared" si="2"/>
        <v>0</v>
      </c>
      <c r="D16" s="113">
        <f t="shared" si="2"/>
        <v>0</v>
      </c>
      <c r="E16" s="113">
        <f t="shared" si="2"/>
        <v>0</v>
      </c>
      <c r="F16" s="113">
        <f t="shared" si="2"/>
        <v>0</v>
      </c>
      <c r="G16" s="113">
        <f t="shared" si="2"/>
        <v>0</v>
      </c>
    </row>
    <row r="17" spans="1:7" ht="15">
      <c r="A17" s="21" t="s">
        <v>433</v>
      </c>
      <c r="B17" s="113">
        <v>0</v>
      </c>
      <c r="C17" s="113">
        <v>0</v>
      </c>
      <c r="D17" s="113">
        <v>0</v>
      </c>
      <c r="E17" s="113">
        <v>0</v>
      </c>
      <c r="F17" s="113">
        <v>0</v>
      </c>
      <c r="G17" s="113">
        <f>D17-E17</f>
        <v>0</v>
      </c>
    </row>
    <row r="18" spans="1:7" ht="15">
      <c r="A18" s="21" t="s">
        <v>434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113">
        <f>D18-E18</f>
        <v>0</v>
      </c>
    </row>
    <row r="19" spans="1:7" ht="15">
      <c r="A19" s="20" t="s">
        <v>435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113">
        <f>D19-E19</f>
        <v>0</v>
      </c>
    </row>
    <row r="20" spans="1:7" ht="15">
      <c r="A20" s="34"/>
      <c r="B20" s="114"/>
      <c r="C20" s="114"/>
      <c r="D20" s="114"/>
      <c r="E20" s="114"/>
      <c r="F20" s="114"/>
      <c r="G20" s="114"/>
    </row>
    <row r="21" spans="1:8" ht="15">
      <c r="A21" s="26" t="s">
        <v>436</v>
      </c>
      <c r="B21" s="112">
        <f aca="true" t="shared" si="3" ref="B21:G21">SUM(B22,B23,B24,B27,B28,B31)</f>
        <v>4516943588</v>
      </c>
      <c r="C21" s="112">
        <f t="shared" si="3"/>
        <v>0</v>
      </c>
      <c r="D21" s="112">
        <f t="shared" si="3"/>
        <v>4516943588</v>
      </c>
      <c r="E21" s="112">
        <f t="shared" si="3"/>
        <v>1885552800.4900002</v>
      </c>
      <c r="F21" s="112">
        <f t="shared" si="3"/>
        <v>1885552800.4900005</v>
      </c>
      <c r="G21" s="112">
        <f t="shared" si="3"/>
        <v>2631390787.5099998</v>
      </c>
      <c r="H21" s="10"/>
    </row>
    <row r="22" spans="1:8" ht="15">
      <c r="A22" s="20" t="s">
        <v>426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f>D22-E22</f>
        <v>0</v>
      </c>
      <c r="H22" s="10"/>
    </row>
    <row r="23" spans="1:8" ht="15">
      <c r="A23" s="20" t="s">
        <v>427</v>
      </c>
      <c r="B23" s="113">
        <v>4516943588</v>
      </c>
      <c r="C23" s="113">
        <v>0</v>
      </c>
      <c r="D23" s="113">
        <v>4516943588</v>
      </c>
      <c r="E23" s="113">
        <v>1885552800.4900002</v>
      </c>
      <c r="F23" s="113">
        <v>1885552800.4900005</v>
      </c>
      <c r="G23" s="113">
        <f>D23-E23</f>
        <v>2631390787.5099998</v>
      </c>
      <c r="H23" s="10"/>
    </row>
    <row r="24" spans="1:8" ht="15">
      <c r="A24" s="20" t="s">
        <v>428</v>
      </c>
      <c r="B24" s="113">
        <f aca="true" t="shared" si="4" ref="B24:G24">B25+B26</f>
        <v>0</v>
      </c>
      <c r="C24" s="113">
        <f t="shared" si="4"/>
        <v>0</v>
      </c>
      <c r="D24" s="113">
        <f t="shared" si="4"/>
        <v>0</v>
      </c>
      <c r="E24" s="113">
        <f t="shared" si="4"/>
        <v>0</v>
      </c>
      <c r="F24" s="113">
        <f t="shared" si="4"/>
        <v>0</v>
      </c>
      <c r="G24" s="113">
        <f t="shared" si="4"/>
        <v>0</v>
      </c>
      <c r="H24" s="10"/>
    </row>
    <row r="25" spans="1:8" ht="15">
      <c r="A25" s="21" t="s">
        <v>429</v>
      </c>
      <c r="B25" s="113">
        <v>0</v>
      </c>
      <c r="C25" s="113">
        <v>0</v>
      </c>
      <c r="D25" s="113">
        <v>0</v>
      </c>
      <c r="E25" s="113">
        <v>0</v>
      </c>
      <c r="F25" s="113">
        <v>0</v>
      </c>
      <c r="G25" s="113">
        <f>D25-E25</f>
        <v>0</v>
      </c>
      <c r="H25" s="10"/>
    </row>
    <row r="26" spans="1:8" ht="15">
      <c r="A26" s="21" t="s">
        <v>430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f>D26-E26</f>
        <v>0</v>
      </c>
      <c r="H26" s="10"/>
    </row>
    <row r="27" spans="1:8" ht="15">
      <c r="A27" s="20" t="s">
        <v>431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f>D27-E27</f>
        <v>0</v>
      </c>
      <c r="H27" s="10"/>
    </row>
    <row r="28" spans="1:8" ht="15">
      <c r="A28" s="33" t="s">
        <v>432</v>
      </c>
      <c r="B28" s="113">
        <f aca="true" t="shared" si="5" ref="B28:G28">B29+B30</f>
        <v>0</v>
      </c>
      <c r="C28" s="113">
        <f t="shared" si="5"/>
        <v>0</v>
      </c>
      <c r="D28" s="113">
        <f t="shared" si="5"/>
        <v>0</v>
      </c>
      <c r="E28" s="113">
        <f t="shared" si="5"/>
        <v>0</v>
      </c>
      <c r="F28" s="113">
        <f t="shared" si="5"/>
        <v>0</v>
      </c>
      <c r="G28" s="113">
        <f t="shared" si="5"/>
        <v>0</v>
      </c>
      <c r="H28" s="10"/>
    </row>
    <row r="29" spans="1:8" ht="15">
      <c r="A29" s="21" t="s">
        <v>433</v>
      </c>
      <c r="B29" s="113">
        <v>0</v>
      </c>
      <c r="C29" s="113">
        <v>0</v>
      </c>
      <c r="D29" s="113">
        <v>0</v>
      </c>
      <c r="E29" s="113">
        <v>0</v>
      </c>
      <c r="F29" s="113">
        <v>0</v>
      </c>
      <c r="G29" s="113">
        <f>D29-E29</f>
        <v>0</v>
      </c>
      <c r="H29" s="10"/>
    </row>
    <row r="30" spans="1:8" ht="15">
      <c r="A30" s="21" t="s">
        <v>434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113">
        <f>D30-E30</f>
        <v>0</v>
      </c>
      <c r="H30" s="10"/>
    </row>
    <row r="31" spans="1:8" ht="15">
      <c r="A31" s="20" t="s">
        <v>435</v>
      </c>
      <c r="B31" s="113">
        <v>0</v>
      </c>
      <c r="C31" s="113">
        <v>0</v>
      </c>
      <c r="D31" s="113">
        <v>0</v>
      </c>
      <c r="E31" s="113">
        <v>0</v>
      </c>
      <c r="F31" s="113">
        <v>0</v>
      </c>
      <c r="G31" s="113">
        <f>D31-E31</f>
        <v>0</v>
      </c>
      <c r="H31" s="10"/>
    </row>
    <row r="32" spans="1:7" ht="15">
      <c r="A32" s="34"/>
      <c r="B32" s="114"/>
      <c r="C32" s="114"/>
      <c r="D32" s="114"/>
      <c r="E32" s="114"/>
      <c r="F32" s="114"/>
      <c r="G32" s="114"/>
    </row>
    <row r="33" spans="1:7" ht="15">
      <c r="A33" s="23" t="s">
        <v>437</v>
      </c>
      <c r="B33" s="112">
        <f aca="true" t="shared" si="6" ref="B33:G33">B21+B9</f>
        <v>7308728115</v>
      </c>
      <c r="C33" s="112">
        <f t="shared" si="6"/>
        <v>48947.900000045076</v>
      </c>
      <c r="D33" s="112">
        <f t="shared" si="6"/>
        <v>7309094206.9</v>
      </c>
      <c r="E33" s="112">
        <f t="shared" si="6"/>
        <v>3078865758.8999987</v>
      </c>
      <c r="F33" s="112">
        <f t="shared" si="6"/>
        <v>3078865758.900008</v>
      </c>
      <c r="G33" s="112">
        <f t="shared" si="6"/>
        <v>4230228448.000001</v>
      </c>
    </row>
    <row r="34" spans="1:7" ht="15">
      <c r="A34" s="35"/>
      <c r="B34" s="36"/>
      <c r="C34" s="36"/>
      <c r="D34" s="36"/>
      <c r="E34" s="36"/>
      <c r="F34" s="36"/>
      <c r="G34" s="36"/>
    </row>
    <row r="35" spans="2:7" ht="15" hidden="1">
      <c r="B35" s="32"/>
      <c r="C35" s="32"/>
      <c r="D35" s="32"/>
      <c r="E35" s="32"/>
      <c r="F35" s="32"/>
      <c r="G35" s="32"/>
    </row>
    <row r="36" spans="2:7" ht="15" hidden="1">
      <c r="B36" s="32"/>
      <c r="C36" s="32"/>
      <c r="D36" s="32"/>
      <c r="E36" s="32"/>
      <c r="F36" s="32"/>
      <c r="G36" s="32"/>
    </row>
    <row r="37" spans="2:7" ht="15" hidden="1">
      <c r="B37" s="32"/>
      <c r="C37" s="32"/>
      <c r="D37" s="32"/>
      <c r="E37" s="32"/>
      <c r="F37" s="32"/>
      <c r="G37" s="32"/>
    </row>
    <row r="38" spans="2:7" ht="15" hidden="1">
      <c r="B38" s="32"/>
      <c r="C38" s="32"/>
      <c r="D38" s="32"/>
      <c r="E38" s="32"/>
      <c r="F38" s="32"/>
      <c r="G38" s="32"/>
    </row>
    <row r="39" spans="2:7" ht="15" hidden="1">
      <c r="B39" s="32"/>
      <c r="C39" s="32"/>
      <c r="D39" s="32"/>
      <c r="E39" s="32"/>
      <c r="F39" s="32"/>
      <c r="G39" s="32"/>
    </row>
    <row r="40" spans="2:7" ht="15" hidden="1">
      <c r="B40" s="32"/>
      <c r="C40" s="32"/>
      <c r="D40" s="32"/>
      <c r="E40" s="32"/>
      <c r="F40" s="32"/>
      <c r="G40" s="32"/>
    </row>
    <row r="41" spans="2:7" ht="15" hidden="1">
      <c r="B41" s="32"/>
      <c r="C41" s="32"/>
      <c r="D41" s="32"/>
      <c r="E41" s="32"/>
      <c r="F41" s="32"/>
      <c r="G41" s="32"/>
    </row>
    <row r="42" spans="2:7" ht="15" hidden="1">
      <c r="B42" s="32"/>
      <c r="C42" s="32"/>
      <c r="D42" s="32"/>
      <c r="E42" s="32"/>
      <c r="F42" s="32"/>
      <c r="G42" s="32"/>
    </row>
    <row r="43" spans="2:7" ht="15" hidden="1">
      <c r="B43" s="32"/>
      <c r="C43" s="32"/>
      <c r="D43" s="32"/>
      <c r="E43" s="32"/>
      <c r="F43" s="32"/>
      <c r="G43" s="32"/>
    </row>
    <row r="44" spans="2:7" ht="15" hidden="1">
      <c r="B44" s="32"/>
      <c r="C44" s="32"/>
      <c r="D44" s="32"/>
      <c r="E44" s="32"/>
      <c r="F44" s="32"/>
      <c r="G44" s="32"/>
    </row>
    <row r="45" spans="2:7" ht="15" hidden="1">
      <c r="B45" s="32"/>
      <c r="C45" s="32"/>
      <c r="D45" s="32"/>
      <c r="E45" s="32"/>
      <c r="F45" s="32"/>
      <c r="G45" s="3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7480314960629921" bottom="0.7480314960629921" header="0.31496062992125984" footer="0.31496062992125984"/>
  <pageSetup fitToHeight="2" fitToWidth="1" horizontalDpi="600" verticalDpi="600" orientation="portrait" scale="40" r:id="rId1"/>
  <ignoredErrors>
    <ignoredError sqref="B9:F9 B12:F12 B16:F16 B21:F21 B24:F24 B28:F28 B33:F33 G9:G11 G13:G15 G17:G23 G25:G27 G29:G33" unlockedFormula="1"/>
    <ignoredError sqref="G12 G16 G24 G2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</dc:creator>
  <cp:keywords/>
  <dc:description/>
  <cp:lastModifiedBy>Elias D</cp:lastModifiedBy>
  <cp:lastPrinted>2020-04-23T17:00:46Z</cp:lastPrinted>
  <dcterms:created xsi:type="dcterms:W3CDTF">2019-07-09T15:27:10Z</dcterms:created>
  <dcterms:modified xsi:type="dcterms:W3CDTF">2020-07-21T18:59:25Z</dcterms:modified>
  <cp:category/>
  <cp:version/>
  <cp:contentType/>
  <cp:contentStatus/>
</cp:coreProperties>
</file>